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wjGFTwfupRzP/wnVaLuN5IdIBeZHSWX3sm6YMgkp1mwr6g389XxR0JZKy0JNMVs9YBYvehlywrHMqNzWiQEijQ==" workbookSaltValue="eW2H2Ggrxl3H3fwIHCRPe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AN17" i="11" s="1"/>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B19" i="19"/>
  <c r="D18" i="12"/>
  <c r="ER19" i="8"/>
  <c r="EQ19" i="8"/>
  <c r="BA13" i="16"/>
  <c r="G18" i="12"/>
  <c r="W19" i="13"/>
  <c r="R8" i="9"/>
  <c r="BH11" i="16" s="1"/>
  <c r="Z19" i="8"/>
  <c r="AL13" i="16"/>
  <c r="BH17" i="16"/>
  <c r="BF17" i="11"/>
  <c r="S13" i="16"/>
  <c r="P13" i="16"/>
  <c r="AN13" i="20"/>
  <c r="Z13" i="17"/>
  <c r="H13" i="12"/>
  <c r="T13" i="12"/>
  <c r="S9" i="17"/>
  <c r="V9" i="11"/>
  <c r="BG9" i="11"/>
  <c r="AP17" i="20"/>
  <c r="BU10" i="17"/>
  <c r="BW11" i="20"/>
  <c r="BU12" i="17"/>
  <c r="Q17" i="17"/>
  <c r="S10" i="17"/>
  <c r="BF15" i="11"/>
  <c r="BL16" i="11"/>
  <c r="BG12" i="8"/>
  <c r="BD9" i="8"/>
  <c r="BF9" i="8"/>
  <c r="BA13" i="8"/>
  <c r="I19" i="8"/>
  <c r="T13" i="20"/>
  <c r="T13" i="16"/>
  <c r="AP13" i="16"/>
  <c r="T18" i="17"/>
  <c r="BG15" i="13"/>
  <c r="J20" i="20"/>
  <c r="AF20" i="20"/>
  <c r="M20" i="20"/>
  <c r="AG20" i="20"/>
  <c r="S20" i="20"/>
  <c r="K20" i="20"/>
  <c r="Z20" i="20"/>
  <c r="AM20" i="20"/>
  <c r="AK20" i="20"/>
  <c r="W20" i="21"/>
  <c r="F20" i="20"/>
  <c r="AR18" i="11" l="1"/>
  <c r="D17" i="6"/>
  <c r="J17" i="12" s="1"/>
  <c r="AJ19" i="8"/>
  <c r="E18" i="12"/>
  <c r="T19" i="8"/>
  <c r="AC12" i="11"/>
  <c r="AH13" i="16"/>
  <c r="AH19" i="8"/>
  <c r="AY13" i="8"/>
  <c r="BF12" i="8"/>
  <c r="E13" i="17"/>
  <c r="AA19" i="8"/>
  <c r="C19" i="3"/>
  <c r="G18" i="2"/>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I10" i="7" s="1"/>
  <c r="BE11" i="8"/>
  <c r="BE12" i="8"/>
  <c r="I12" i="7" s="1"/>
  <c r="AM11" i="11"/>
  <c r="AO9" i="11"/>
  <c r="AM12" i="11"/>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P18" i="17" l="1"/>
  <c r="P19" i="17" s="1"/>
  <c r="BK13" i="11"/>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<sst xmlns="http://schemas.openxmlformats.org/spreadsheetml/2006/main" count="2094" uniqueCount="913">
  <si>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</si>
  <si>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</si>
  <si>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</si>
  <si>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</si>
  <si>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</si>
  <si>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</si>
  <si>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</si>
  <si>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</si>
  <si>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</si>
  <si>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</si>
  <si>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</si>
  <si>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</si>
  <si>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</si>
  <si>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</si>
  <si>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</si>
  <si>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</si>
  <si>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</si>
  <si>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</si>
  <si>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</si>
  <si>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</si>
  <si>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</si>
  <si>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</si>
  <si>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</si>
  <si>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</si>
  <si>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</si>
  <si>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</si>
  <si>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</si>
  <si>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</si>
  <si>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</si>
  <si>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</si>
  <si>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</si>
  <si>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</si>
  <si>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</si>
  <si>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</si>
  <si>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</si>
  <si>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</si>
  <si>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</si>
  <si>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</si>
  <si>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</si>
  <si>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</si>
  <si>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</si>
  <si>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</si>
  <si>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</si>
  <si>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</si>
  <si>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</si>
  <si>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</si>
  <si>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</si>
  <si>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</si>
  <si>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</si>
  <si>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</si>
  <si>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</si>
  <si>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</si>
  <si>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</si>
  <si>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</si>
  <si>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</si>
  <si>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</si>
  <si>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</si>
  <si>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</si>
  <si>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</si>
  <si>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</si>
  <si>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</si>
  <si>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</si>
  <si>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</si>
  <si>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</si>
  <si>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</si>
  <si>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</si>
  <si>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</si>
  <si>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</si>
  <si>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</si>
  <si>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</si>
  <si>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</si>
  <si>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</si>
  <si>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</si>
  <si>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</si>
  <si>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</si>
  <si>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</si>
  <si>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</si>
  <si>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</si>
  <si>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</si>
  <si>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</si>
  <si>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</si>
  <si>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</si>
  <si>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</si>
  <si>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</si>
  <si>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</si>
  <si>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</si>
  <si>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</si>
  <si>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</si>
  <si>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</si>
  <si>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</si>
  <si>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</si>
  <si>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</si>
  <si>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</si>
  <si>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</si>
  <si>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</si>
  <si>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</si>
  <si>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</si>
  <si>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</si>
  <si>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</si>
  <si>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</si>
  <si>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</si>
  <si>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</si>
  <si>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</si>
  <si>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</si>
  <si>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</si>
  <si>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</si>
  <si>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</si>
  <si>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</si>
  <si>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</si>
  <si>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</si>
  <si>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</si>
  <si>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</si>
  <si>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</si>
  <si>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</si>
  <si>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</si>
  <si>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</si>
  <si>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</si>
  <si>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</si>
  <si>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</si>
  <si>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</si>
  <si>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</si>
  <si>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</si>
  <si>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</si>
  <si>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</si>
  <si>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</si>
  <si>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</si>
  <si>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</si>
  <si>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</si>
  <si>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</si>
  <si>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</si>
  <si>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</si>
  <si>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</si>
  <si>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</si>
  <si>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</si>
  <si>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</si>
  <si>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</si>
  <si>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</si>
  <si>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</si>
  <si>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</si>
  <si>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</si>
  <si>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</si>
  <si>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</si>
  <si>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</si>
  <si>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</si>
  <si>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</si>
  <si>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</si>
  <si>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</si>
  <si>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</si>
  <si>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</si>
  <si>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</si>
  <si>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</si>
  <si>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</si>
  <si>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</si>
  <si>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</si>
  <si>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</si>
  <si>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</si>
  <si>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</si>
  <si>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</si>
  <si>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</si>
  <si>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</si>
  <si>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</si>
  <si>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</si>
  <si>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</si>
  <si>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</si>
  <si>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</si>
  <si>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</si>
  <si>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</si>
  <si>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</si>
  <si>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</si>
  <si>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</si>
  <si>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</si>
  <si>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</si>
  <si>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</si>
  <si>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</si>
  <si>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</si>
  <si>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</si>
  <si>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</si>
  <si>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</si>
  <si>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</si>
  <si>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</si>
  <si>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</si>
  <si>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</si>
  <si>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</si>
  <si>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</si>
  <si>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</si>
  <si>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</si>
  <si>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</si>
  <si>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</si>
  <si>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</si>
  <si>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</si>
  <si>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</si>
  <si>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</si>
  <si>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</si>
  <si>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</si>
  <si>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</si>
  <si>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</si>
  <si>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</si>
  <si>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</si>
  <si>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</si>
  <si>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</si>
  <si>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</si>
  <si>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</si>
  <si>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</si>
  <si>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</si>
  <si>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</si>
  <si>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</si>
  <si>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</si>
  <si>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</si>
  <si>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</si>
  <si>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</si>
  <si>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</si>
  <si>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</si>
  <si>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</si>
  <si>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</si>
  <si>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</si>
  <si>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</si>
  <si>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</si>
  <si>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</si>
  <si>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</si>
  <si>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</si>
  <si>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</si>
  <si>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</si>
  <si>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</si>
  <si>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</si>
  <si>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</si>
  <si>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</si>
  <si>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</si>
  <si>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</si>
  <si>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</si>
  <si>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</si>
  <si>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</si>
  <si>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</si>
  <si>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</si>
  <si>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</si>
  <si>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</si>
  <si>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</si>
  <si>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</si>
  <si>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</si>
  <si>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</si>
  <si>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</si>
  <si>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</si>
  <si>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</si>
  <si>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</si>
  <si>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</si>
  <si>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</si>
  <si>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</si>
  <si>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</si>
  <si>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</si>
  <si>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</si>
  <si>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</si>
  <si>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</si>
  <si>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</si>
  <si>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</si>
  <si>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</si>
  <si>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</si>
  <si>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</si>
  <si>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</si>
  <si>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</si>
  <si>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</si>
  <si>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</si>
  <si>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</si>
  <si>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</si>
  <si>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</si>
  <si>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</si>
  <si>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</si>
  <si>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</si>
  <si>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</si>
  <si>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</si>
  <si>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</si>
  <si>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</si>
  <si>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</si>
  <si>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</si>
  <si>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</si>
  <si>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</si>
  <si>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</si>
  <si>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</si>
  <si>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</si>
  <si>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</si>
  <si>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</si>
  <si>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</si>
  <si>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</si>
  <si>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</si>
  <si>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</si>
  <si>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</si>
  <si>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</si>
  <si>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</si>
  <si>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</si>
  <si>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</si>
  <si>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</si>
  <si>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</si>
  <si>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</si>
  <si>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</si>
  <si>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</si>
  <si>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</si>
  <si>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</si>
  <si>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</si>
  <si>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</si>
  <si>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</si>
  <si>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</si>
  <si>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</si>
  <si>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</si>
  <si>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</si>
  <si>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</si>
  <si>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</si>
  <si>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</si>
  <si>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</si>
  <si>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</si>
  <si>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</si>
  <si>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</si>
  <si>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</si>
  <si>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</si>
  <si>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</si>
  <si>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</si>
  <si>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</si>
  <si>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</si>
  <si>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</si>
  <si>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</si>
  <si>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</si>
  <si>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</si>
  <si>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</si>
  <si>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</si>
  <si>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</si>
  <si>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</si>
  <si>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</si>
  <si>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</si>
  <si>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</si>
  <si>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</si>
  <si>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</si>
  <si>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</si>
  <si>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</si>
  <si>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</si>
  <si>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</si>
  <si>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</si>
  <si>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</si>
  <si>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</si>
  <si>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</si>
  <si>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</si>
  <si>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</si>
  <si>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</si>
  <si>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</si>
  <si>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</si>
  <si>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</si>
  <si>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</si>
  <si>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</si>
  <si>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</si>
  <si>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</si>
  <si>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</si>
  <si>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</si>
  <si>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</si>
  <si>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</si>
  <si>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</si>
  <si>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</si>
  <si>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</si>
  <si>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</si>
  <si>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</si>
  <si>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</si>
  <si>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</si>
  <si>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</si>
  <si>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</si>
  <si>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</si>
  <si>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</si>
  <si>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</si>
  <si>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</si>
  <si>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</si>
  <si>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</si>
  <si>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</si>
  <si>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</si>
  <si>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</si>
  <si>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</si>
  <si>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</si>
  <si>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</si>
  <si>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</si>
  <si>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</si>
  <si>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</si>
  <si>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</si>
  <si>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</si>
  <si>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</si>
  <si>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</si>
  <si>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</si>
  <si>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</si>
  <si>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</si>
  <si>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</si>
  <si>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</si>
  <si>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</si>
  <si>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</si>
  <si>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</si>
  <si>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</si>
  <si>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</si>
  <si>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</si>
  <si>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</si>
  <si>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</si>
  <si>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</si>
  <si>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</si>
  <si>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</si>
  <si>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</si>
  <si>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</si>
  <si>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</si>
  <si>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</si>
  <si>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</si>
  <si>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</si>
  <si>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</si>
  <si>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</si>
  <si>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</si>
  <si>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</si>
  <si>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</si>
  <si>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</si>
  <si>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</si>
  <si>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</si>
  <si>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</si>
  <si>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</si>
  <si>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</si>
  <si>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</si>
  <si>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</si>
  <si>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</si>
  <si>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</si>
  <si>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</si>
  <si>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</si>
  <si>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</si>
  <si>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</si>
  <si>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</si>
  <si>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</si>
  <si>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</si>
  <si>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</si>
  <si>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</si>
  <si>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</si>
  <si>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</si>
  <si>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</si>
  <si>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</si>
  <si>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</si>
  <si>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</si>
  <si>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</si>
  <si>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</si>
  <si>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</si>
  <si>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</si>
  <si>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</si>
  <si>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</si>
  <si>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</si>
  <si>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</si>
  <si>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</si>
  <si>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</si>
  <si>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</si>
  <si>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</si>
  <si>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</si>
  <si>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</si>
  <si>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</si>
  <si>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</si>
  <si>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</si>
  <si>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</si>
  <si>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</si>
  <si>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</si>
  <si>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</si>
  <si>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</si>
  <si>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</si>
  <si>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</si>
  <si>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</si>
  <si>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</si>
  <si>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</si>
  <si>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</si>
  <si>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</si>
  <si>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</si>
  <si>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</si>
  <si>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</si>
  <si>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</si>
  <si>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</si>
  <si>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</si>
  <si>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</si>
  <si>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</si>
  <si>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</si>
  <si>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</si>
  <si>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</si>
  <si>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</si>
  <si>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</si>
  <si>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</si>
  <si>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</si>
  <si>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</si>
  <si>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</si>
  <si>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</si>
  <si>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</si>
  <si>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</si>
  <si>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</si>
  <si>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</si>
  <si>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</si>
  <si>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</si>
  <si>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</si>
  <si>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</si>
  <si>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</si>
  <si>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</si>
  <si>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</si>
  <si>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</si>
  <si>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</si>
  <si>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</si>
  <si>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</si>
  <si>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</si>
  <si>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</si>
  <si>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</si>
  <si>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</si>
  <si>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</si>
  <si>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</si>
  <si>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</si>
  <si>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</si>
  <si>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</si>
  <si>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</si>
  <si>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</si>
  <si>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</si>
  <si>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</si>
  <si>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</si>
  <si>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</si>
  <si>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</si>
  <si>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</si>
  <si>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</si>
  <si>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</si>
  <si>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</si>
  <si>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</si>
  <si>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</si>
  <si>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</si>
  <si>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</si>
  <si>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</si>
  <si>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</si>
  <si>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</si>
  <si>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</si>
  <si>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</si>
  <si>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</si>
  <si>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</si>
  <si>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</si>
  <si>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</si>
  <si>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</si>
  <si>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</si>
  <si>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</si>
  <si>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</si>
  <si>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</si>
  <si>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</si>
  <si>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</si>
  <si>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</si>
  <si>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</si>
  <si>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</si>
  <si>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</si>
  <si>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</si>
  <si>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</si>
  <si>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</si>
  <si>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</si>
  <si>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</si>
  <si>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</si>
  <si>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</si>
  <si>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</si>
  <si>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</si>
  <si>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</si>
  <si>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</si>
  <si>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</si>
  <si>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</si>
  <si>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</si>
  <si>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</si>
  <si>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</si>
  <si>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</si>
  <si>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</si>
  <si>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</si>
  <si>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</si>
  <si>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</si>
  <si>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</si>
  <si>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</si>
  <si>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</si>
  <si>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</si>
  <si>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</si>
  <si>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</si>
  <si>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</si>
  <si>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</si>
  <si>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</si>
  <si>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</si>
  <si>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</si>
  <si>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</si>
  <si>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</si>
  <si>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</si>
  <si>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</si>
  <si>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</si>
  <si>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</si>
  <si>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</si>
  <si>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</si>
  <si>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</si>
  <si>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</si>
  <si>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</si>
  <si>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</si>
  <si>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</si>
  <si>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</si>
  <si>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</si>
  <si>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</si>
  <si>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</si>
  <si>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</si>
  <si>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</si>
  <si>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</si>
  <si>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</si>
  <si>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</si>
  <si>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</si>
  <si>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</si>
  <si>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</si>
  <si>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</si>
  <si>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</si>
  <si>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</si>
  <si>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</si>
  <si>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</si>
  <si>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</si>
  <si>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</si>
  <si>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</si>
  <si>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</si>
  <si>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</si>
  <si>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</si>
  <si>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</si>
  <si>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</si>
  <si>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</si>
  <si>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</si>
  <si>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</si>
  <si>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</si>
  <si>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</si>
  <si>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</si>
  <si>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</si>
  <si>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</si>
  <si>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</si>
  <si>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</si>
  <si>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</si>
  <si>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</si>
  <si>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</si>
  <si>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</si>
  <si>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</si>
  <si>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</si>
  <si>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</si>
  <si>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</si>
  <si>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</si>
  <si>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</si>
  <si>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</si>
  <si>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</si>
  <si>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</si>
  <si>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</si>
  <si>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</si>
  <si>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</si>
  <si>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</si>
  <si>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</si>
  <si>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</si>
  <si>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</si>
  <si>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</si>
  <si>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</si>
  <si>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</si>
  <si>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</si>
  <si>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</si>
  <si>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</si>
  <si>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</si>
  <si>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</si>
  <si>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</si>
  <si>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</si>
  <si>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</si>
  <si>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</si>
  <si>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</si>
  <si>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</si>
  <si>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</si>
  <si>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</si>
  <si>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</si>
  <si>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</si>
  <si>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</si>
  <si>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</si>
  <si>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</si>
  <si>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</si>
  <si>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</si>
  <si>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</si>
  <si>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</si>
  <si>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</si>
  <si>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</si>
  <si>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</si>
  <si>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</si>
  <si>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</si>
  <si>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</si>
  <si>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</si>
  <si>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</si>
  <si>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</si>
  <si>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</si>
  <si>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</si>
  <si>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</si>
  <si>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</si>
  <si>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</si>
  <si>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</si>
  <si>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</si>
  <si>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</si>
  <si>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</si>
  <si>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</si>
  <si>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</si>
  <si>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</si>
  <si>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</si>
  <si>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</si>
  <si>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</si>
  <si>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</si>
  <si>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</si>
  <si>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</si>
  <si>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</si>
  <si>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</si>
  <si>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</si>
  <si>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</si>
  <si>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</si>
  <si>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</si>
  <si>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</si>
  <si>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</si>
  <si>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</si>
  <si>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</si>
  <si>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</si>
  <si>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</si>
  <si>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</si>
  <si>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</si>
  <si>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</si>
  <si>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</si>
  <si>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</si>
  <si>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</si>
  <si>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</si>
  <si>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</si>
  <si>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</si>
  <si>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</si>
  <si>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</si>
  <si>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</si>
  <si>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</si>
  <si>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</si>
  <si>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</si>
  <si>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</si>
  <si>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</si>
  <si>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</si>
  <si>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</si>
  <si>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</si>
  <si>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</si>
  <si>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</si>
  <si>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</si>
  <si>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</si>
  <si>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</si>
  <si>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</si>
  <si>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</si>
  <si>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</si>
  <si>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</si>
  <si>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</si>
  <si>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</si>
  <si>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</si>
  <si>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</si>
  <si>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</si>
  <si>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</si>
  <si>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</si>
  <si>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</si>
  <si>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</si>
  <si>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</si>
  <si>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</si>
  <si>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</si>
  <si>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</si>
  <si>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</si>
  <si>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</si>
  <si>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</si>
  <si>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</si>
  <si>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</si>
  <si>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</si>
  <si>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</si>
  <si>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</si>
  <si>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</si>
  <si>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</si>
  <si>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</si>
  <si>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</si>
  <si>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</si>
  <si>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</si>
  <si>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</si>
  <si>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</si>
  <si>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</si>
  <si>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</si>
  <si>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</si>
  <si>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</si>
  <si>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</si>
  <si>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</si>
  <si>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</si>
  <si>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</si>
  <si>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</si>
  <si>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</si>
  <si>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</si>
  <si>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</si>
  <si>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</si>
  <si>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</si>
  <si>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</si>
  <si>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</si>
  <si>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</si>
  <si>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</si>
  <si>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</si>
  <si>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</si>
  <si>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</si>
  <si>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</si>
  <si>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</si>
  <si>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</si>
  <si>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</si>
  <si>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</si>
  <si>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</si>
  <si>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</si>
  <si>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</si>
  <si>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</si>
  <si>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</si>
  <si>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</si>
  <si>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</si>
  <si>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</si>
  <si>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</si>
  <si>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</si>
  <si>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</si>
  <si>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</si>
  <si>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</si>
  <si>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</si>
  <si>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</si>
  <si>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</si>
  <si>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</si>
  <si>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</si>
  <si>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</si>
  <si>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</si>
  <si>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</si>
  <si>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</si>
  <si>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</si>
  <si>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</si>
  <si>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</si>
  <si>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</si>
  <si>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</si>
  <si>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</si>
  <si>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</si>
  <si>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</si>
  <si>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</si>
  <si>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</si>
  <si>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</si>
  <si>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</si>
  <si>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</si>
  <si>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</si>
  <si>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</si>
  <si>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</si>
  <si>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</si>
  <si>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</si>
  <si>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</si>
  <si>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</si>
  <si>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</si>
  <si>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</si>
  <si>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</si>
  <si>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</si>
  <si>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</si>
  <si>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</si>
  <si>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</si>
  <si>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</si>
  <si>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</si>
  <si>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</si>
  <si>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</si>
  <si>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</si>
  <si>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</si>
  <si>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</si>
  <si>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</si>
  <si>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</si>
  <si>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</si>
  <si>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</si>
  <si>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</si>
  <si>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</si>
  <si>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</si>
  <si>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</si>
  <si>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</si>
  <si>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</si>
  <si>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</si>
  <si>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</si>
  <si>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</si>
  <si>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</si>
  <si>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</si>
  <si>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</si>
  <si>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</si>
  <si>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</si>
  <si>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</si>
  <si>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</si>
  <si>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</si>
  <si>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</si>
  <si>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</si>
  <si>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</si>
  <si>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</si>
  <si>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</si>
  <si>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</si>
  <si>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</si>
  <si>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</si>
  <si>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</si>
  <si>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</si>
  <si>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</si>
  <si>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</si>
  <si>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</si>
  <si>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</si>
  <si>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</si>
  <si>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</si>
  <si>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</si>
  <si>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</si>
  <si>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</si>
  <si>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</si>
  <si>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</si>
  <si>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</si>
  <si>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</si>
  <si>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</si>
  <si>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</si>
  <si>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</si>
  <si>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</si>
  <si>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</si>
  <si>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</si>
  <si>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</si>
  <si>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</si>
  <si>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</si>
  <si>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</si>
  <si>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</si>
  <si>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</si>
  <si>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</si>
  <si>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</si>
  <si>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</si>
  <si>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</si>
  <si>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</si>
  <si>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</si>
  <si>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</si>
  <si>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</si>
  <si>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</si>
  <si>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</si>
  <si>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</si>
  <si>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</si>
  <si>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</si>
  <si>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MADRID</t>
  </si>
  <si>
    <t>Provincias</t>
  </si>
  <si>
    <t>Resumenes por Partidos Judiciales</t>
  </si>
  <si>
    <t>VALDEMORO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</si>
</sst>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3qQyUMgQl7VR+5fSYzr3NCTCcs0uz+INFiwrux3Ce9eLHdyVCifixjRHyjmA8YTTQMUcdGUmPi7Li2U8bPUVNQ==" saltValue="O3rRqIihaKZRfuHLafam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MADRID</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126</v>
      </c>
      <c r="D10" s="228">
        <f>IF(ISNUMBER(Datos!I10),Datos!I10," - ")</f>
        <v>126</v>
      </c>
      <c r="E10" s="229">
        <f>IF(ISNUMBER(Datos!J10),Datos!J10," - ")</f>
        <v>42</v>
      </c>
      <c r="F10" s="229">
        <f>IF(ISNUMBER(Datos!K10),Datos!K10," - ")</f>
        <v>29</v>
      </c>
      <c r="G10" s="1037" t="str">
        <f>IF(Datos!E10&lt;&gt;"",Datos!E10,Datos!D10)</f>
        <v>37</v>
      </c>
      <c r="H10" s="230">
        <f>IF(ISNUMBER(Datos!L10),Datos!L10," - ")</f>
        <v>139</v>
      </c>
      <c r="I10" s="1047" t="str">
        <f>IF(ISNUMBER(Datos!AS10/Datos!BM10),Datos!AS10/Datos!BM10," - ")</f>
        <v xml:space="preserve"> - </v>
      </c>
      <c r="J10" s="1048">
        <f>IF(ISNUMBER(Datos!BY10/Datos!CN10),Datos!BY10/Datos!CN10," - ")</f>
        <v>0</v>
      </c>
      <c r="K10" s="233">
        <f t="shared" ref="K10:K12" si="1">IF(ISNUMBER((E10-F10)/C10),(E10-F10)/C10," - ")</f>
        <v>0.10317460317460317</v>
      </c>
      <c r="L10" s="1028">
        <f>IF(ISNUMBER(NºAsuntos!I10/NºAsuntos!G10),(NºAsuntos!I10/NºAsuntos!G10)*11," - ")</f>
        <v>52.724137931034484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8</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10.741410488245931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126</v>
      </c>
      <c r="D13" s="1052">
        <f>SUBTOTAL(9,D9:D12)</f>
        <v>126</v>
      </c>
      <c r="E13" s="1053">
        <f>SUBTOTAL(9,E9:E12)</f>
        <v>42</v>
      </c>
      <c r="F13" s="1054">
        <f>SUBTOTAL(9,F9:F12)</f>
        <v>29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8</v>
      </c>
      <c r="B16" s="505" t="str">
        <f>Datos!A16</f>
        <v xml:space="preserve">Jdos. 1ª Instª. e Instr.                        </v>
      </c>
      <c r="C16" s="228">
        <f t="shared" si="2"/>
        <v>1777</v>
      </c>
      <c r="D16" s="228">
        <f>IF(ISNUMBER(IF(D_I="SI",Datos!I16,Datos!I16+Datos!AC16)),IF(D_I="SI",Datos!I16,Datos!I16+Datos!AC16)," - ")</f>
        <v>1583</v>
      </c>
      <c r="E16" s="229">
        <f>IF(ISNUMBER(IF(D_I="SI",Datos!J16,Datos!J16+Datos!AD16)),IF(D_I="SI",Datos!J16,Datos!J16+Datos!AD16)," - ")</f>
        <v>6901</v>
      </c>
      <c r="F16" s="229">
        <f>IF(ISNUMBER(IF(D_I="SI",Datos!K16,Datos!K16+Datos!AE16)),IF(D_I="SI",Datos!K16,Datos!K16+Datos!AE16)," - ")</f>
        <v>7049</v>
      </c>
      <c r="G16" s="1037" t="str">
        <f>IF(Datos!E16&lt;&gt;"",Datos!E16,Datos!D16)</f>
        <v>04</v>
      </c>
      <c r="H16" s="230">
        <f>IF(ISNUMBER(IF(D_I="SI",Datos!L16,Datos!L16+Datos!AF16)),IF(D_I="SI",Datos!L16,Datos!L16+Datos!AF16)," - ")</f>
        <v>1629</v>
      </c>
      <c r="I16" s="1047" t="str">
        <f>IF(ISNUMBER(Datos!AS16/Datos!BM16),Datos!AS16/Datos!BM16," - ")</f>
        <v xml:space="preserve"> - </v>
      </c>
      <c r="J16" s="1048">
        <f>IF(ISNUMBER(Datos!BY16/Datos!CN16),Datos!BY16/Datos!CN16," - ")</f>
        <v>0</v>
      </c>
      <c r="K16" s="233">
        <f t="shared" si="3"/>
        <v>-8.3286437816544739E-2</v>
      </c>
      <c r="L16" s="1028">
        <f>IF(ISNUMBER(NºAsuntos!I16/NºAsuntos!G16),(NºAsuntos!I16/NºAsuntos!G16)*11," - ")</f>
        <v>2.5420627039296355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235</v>
      </c>
      <c r="D17" s="228">
        <f>IF(ISNUMBER(IF(D_I="SI",Datos!I17,Datos!I17+Datos!AC17)),IF(D_I="SI",Datos!I17,Datos!I17+Datos!AC17)," - ")</f>
        <v>229</v>
      </c>
      <c r="E17" s="229">
        <f>IF(ISNUMBER(IF(D_I="SI",Datos!J17,Datos!J17+Datos!AD17)),IF(D_I="SI",Datos!J17,Datos!J17+Datos!AD17)," - ")</f>
        <v>440</v>
      </c>
      <c r="F17" s="229">
        <f>IF(ISNUMBER(IF(D_I="SI",Datos!K17,Datos!K17+Datos!AE17)),IF(D_I="SI",Datos!K17,Datos!K17+Datos!AE17)," - ")</f>
        <v>446</v>
      </c>
      <c r="G17" s="1037" t="str">
        <f>IF(Datos!E17&lt;&gt;"",Datos!E17,Datos!D17)</f>
        <v>37</v>
      </c>
      <c r="H17" s="230">
        <f>IF(ISNUMBER(IF(D_I="SI",Datos!L17,Datos!L17+Datos!AF17)),IF(D_I="SI",Datos!L17,Datos!L17+Datos!AF17)," - ")</f>
        <v>229</v>
      </c>
      <c r="I17" s="1047" t="str">
        <f>IF(ISNUMBER(Datos!AS17/Datos!BM17),Datos!AS17/Datos!BM17," - ")</f>
        <v xml:space="preserve"> - </v>
      </c>
      <c r="J17" s="1048" t="str">
        <f>IF(ISNUMBER((Datos!BY17+Datos!BZ17)/Datos!CN17),(Datos!BY17+Datos!BZ17)/Datos!CN17," - ")</f>
        <v xml:space="preserve"> - </v>
      </c>
      <c r="K17" s="233">
        <f t="shared" si="3"/>
        <v>-2.553191489361702E-2</v>
      </c>
      <c r="L17" s="1028">
        <f>IF(ISNUMBER(NºAsuntos!I17/NºAsuntos!G17),(NºAsuntos!I17/NºAsuntos!G17)*11," - ")</f>
        <v>5.6479820627802697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2012</v>
      </c>
      <c r="D18" s="1052">
        <f>SUBTOTAL(9,D15:D17)</f>
        <v>1812</v>
      </c>
      <c r="E18" s="1053">
        <f>SUBTOTAL(9,E15:E17)</f>
        <v>7341</v>
      </c>
      <c r="F18" s="1053">
        <f>SUBTOTAL(9,F15:F17)</f>
        <v>7495</v>
      </c>
      <c r="G18" s="1055" t="str">
        <f ca="1">INDIRECT(CONCATENATE("G",ROW()-1))</f>
        <v>37</v>
      </c>
      <c r="H18" s="1056">
        <f ca="1">SUMIF(G$14:G17,G18,H$14:H17)</f>
        <v>229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2138</v>
      </c>
      <c r="D19" s="1074">
        <f>SUBTOTAL(9,D9:D18)</f>
        <v>1938</v>
      </c>
      <c r="E19" s="1075">
        <f>SUBTOTAL(9,E9:E18)</f>
        <v>7383</v>
      </c>
      <c r="F19" s="1075">
        <f>SUBTOTAL(9,F9:F18)</f>
        <v>7524</v>
      </c>
      <c r="G19" s="1076"/>
      <c r="H19" s="1077">
        <f ca="1">SUMIF(B9:B18,"TOTAL",H9:H18)</f>
        <v>229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EjeaqRLZnz7qWYGA54kYZBSlNtApIlbLN9lOuuSGLF1g6aQEpnu841xvRA5V1jqvuYhSGM1fioanMrVcXiwTMg==" saltValue="jptoPIeR1fOmkfvxrbqkj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pBTu5k7lPZMFA6+3qX4lAsh1aLdh6lwvIuKC5MJYrUBmTfkZmztI6kGg2ekJM2YwMXK3Tsnl5iOvv8/kUNYNrQ==" saltValue="jwpCfrLEaJWJAYuucAeh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126</v>
      </c>
      <c r="J10" s="184">
        <v>42</v>
      </c>
      <c r="K10" s="184">
        <v>29</v>
      </c>
      <c r="L10" s="184">
        <v>139</v>
      </c>
      <c r="M10" s="184">
        <v>10</v>
      </c>
      <c r="N10" s="184">
        <v>1</v>
      </c>
      <c r="O10" s="184">
        <v>0</v>
      </c>
      <c r="P10" s="184">
        <v>16</v>
      </c>
      <c r="Q10" s="184">
        <v>7</v>
      </c>
      <c r="R10" s="184">
        <v>66</v>
      </c>
      <c r="S10" s="184">
        <v>88</v>
      </c>
      <c r="T10" s="184">
        <v>85</v>
      </c>
      <c r="U10" s="184">
        <v>47</v>
      </c>
      <c r="V10" s="184">
        <v>126</v>
      </c>
      <c r="W10" s="184">
        <v>36</v>
      </c>
      <c r="X10" s="191">
        <v>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88</v>
      </c>
      <c r="AZ10" s="129">
        <f t="shared" si="0"/>
        <v>85</v>
      </c>
      <c r="BA10" s="129">
        <f t="shared" si="0"/>
        <v>47</v>
      </c>
      <c r="BB10" s="129">
        <f t="shared" si="0"/>
        <v>126</v>
      </c>
      <c r="BC10" s="125">
        <f t="shared" si="0"/>
        <v>36</v>
      </c>
      <c r="BD10" s="126">
        <f>IF(ISNUMBER(BA10/AZ10),BA10/AZ10," - ")</f>
        <v>0.55294117647058827</v>
      </c>
      <c r="BE10" s="127">
        <f>IF(ISNUMBER(BB10/BA10),BB10/BA10, " - ")</f>
        <v>2.6808510638297873</v>
      </c>
      <c r="BF10" s="127">
        <f>IF(ISNUMBER(BC10/BA10),BC10/BA10, " - ")</f>
        <v>0.76595744680851063</v>
      </c>
      <c r="BG10" s="199">
        <f>IF(ISNUMBER((AY10+AZ10)/BA10),(AY10+AZ10)/BA10," - ")</f>
        <v>3.6808510638297873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6021</v>
      </c>
      <c r="J12" s="186">
        <v>8127</v>
      </c>
      <c r="K12" s="186">
        <v>7236</v>
      </c>
      <c r="L12" s="186">
        <v>7876</v>
      </c>
      <c r="M12" s="186">
        <v>1275</v>
      </c>
      <c r="N12" s="186">
        <v>4461</v>
      </c>
      <c r="O12" s="184">
        <v>2346</v>
      </c>
      <c r="P12" s="186">
        <v>1718</v>
      </c>
      <c r="Q12" s="186">
        <v>1436</v>
      </c>
      <c r="R12" s="186">
        <v>8968</v>
      </c>
      <c r="S12" s="186">
        <v>5939</v>
      </c>
      <c r="T12" s="186">
        <v>7008</v>
      </c>
      <c r="U12" s="186">
        <v>6832</v>
      </c>
      <c r="V12" s="186">
        <v>6021</v>
      </c>
      <c r="W12" s="186">
        <v>1259</v>
      </c>
      <c r="X12" s="192">
        <v>4176</v>
      </c>
      <c r="Y12" s="194">
        <v>228</v>
      </c>
      <c r="Z12" s="184">
        <v>1034</v>
      </c>
      <c r="AA12" s="184">
        <v>1059</v>
      </c>
      <c r="AB12" s="184">
        <v>224</v>
      </c>
      <c r="AC12" s="186">
        <v>0</v>
      </c>
      <c r="AD12" s="186">
        <v>0</v>
      </c>
      <c r="AE12" s="186">
        <v>0</v>
      </c>
      <c r="AF12" s="192">
        <v>0</v>
      </c>
      <c r="AG12" s="205">
        <v>261</v>
      </c>
      <c r="AH12" s="186">
        <v>1044</v>
      </c>
      <c r="AI12" s="186">
        <v>1077</v>
      </c>
      <c r="AJ12" s="206">
        <v>228</v>
      </c>
      <c r="AK12" s="185">
        <v>0</v>
      </c>
      <c r="AL12" s="186">
        <v>0</v>
      </c>
      <c r="AM12" s="186">
        <v>0</v>
      </c>
      <c r="AN12" s="192">
        <v>0</v>
      </c>
      <c r="AO12" s="262">
        <v>8</v>
      </c>
      <c r="AP12" s="158">
        <v>8</v>
      </c>
      <c r="AQ12" s="158">
        <v>8</v>
      </c>
      <c r="AR12" s="157">
        <v>8</v>
      </c>
      <c r="AS12" s="343" t="s">
        <v>803</v>
      </c>
      <c r="AT12" s="206"/>
      <c r="AU12" s="205"/>
      <c r="AV12" s="206"/>
      <c r="AW12" s="205"/>
      <c r="AX12" s="206"/>
      <c r="AY12" s="126">
        <f t="shared" si="1"/>
        <v>6200</v>
      </c>
      <c r="AZ12" s="127">
        <f t="shared" si="1"/>
        <v>8052</v>
      </c>
      <c r="BA12" s="127">
        <f t="shared" si="1"/>
        <v>7909</v>
      </c>
      <c r="BB12" s="127">
        <f t="shared" si="1"/>
        <v>6249</v>
      </c>
      <c r="BC12" s="125">
        <f>IF(ISNUMBER(X12),X12," - ")</f>
        <v>4176</v>
      </c>
      <c r="BD12" s="126">
        <f t="shared" si="2"/>
        <v>0.98224043715846998</v>
      </c>
      <c r="BE12" s="127">
        <f t="shared" si="3"/>
        <v>0.79011253002908077</v>
      </c>
      <c r="BF12" s="127">
        <f t="shared" si="4"/>
        <v>0.52800606903527625</v>
      </c>
      <c r="BG12" s="199">
        <f t="shared" si="5"/>
        <v>1.8019977241117715</v>
      </c>
      <c r="BH12" s="158">
        <v>8</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6147</v>
      </c>
      <c r="J13" s="187">
        <f t="shared" si="6"/>
        <v>8169</v>
      </c>
      <c r="K13" s="187">
        <f t="shared" si="6"/>
        <v>7265</v>
      </c>
      <c r="L13" s="187">
        <f t="shared" si="6"/>
        <v>8015</v>
      </c>
      <c r="M13" s="187">
        <f t="shared" si="6"/>
        <v>1285</v>
      </c>
      <c r="N13" s="187">
        <f t="shared" si="6"/>
        <v>4462</v>
      </c>
      <c r="O13" s="187">
        <f t="shared" si="6"/>
        <v>2346</v>
      </c>
      <c r="P13" s="187">
        <f t="shared" si="6"/>
        <v>1734</v>
      </c>
      <c r="Q13" s="187">
        <f t="shared" si="6"/>
        <v>1443</v>
      </c>
      <c r="R13" s="187">
        <f t="shared" si="6"/>
        <v>9034</v>
      </c>
      <c r="S13" s="187">
        <f t="shared" si="6"/>
        <v>6027</v>
      </c>
      <c r="T13" s="187">
        <f t="shared" si="6"/>
        <v>7093</v>
      </c>
      <c r="U13" s="187">
        <f t="shared" si="6"/>
        <v>6879</v>
      </c>
      <c r="V13" s="187">
        <f t="shared" si="6"/>
        <v>6147</v>
      </c>
      <c r="W13" s="187">
        <f t="shared" si="6"/>
        <v>1295</v>
      </c>
      <c r="X13" s="187">
        <f t="shared" si="6"/>
        <v>4181</v>
      </c>
      <c r="Y13" s="187">
        <f t="shared" si="6"/>
        <v>228</v>
      </c>
      <c r="Z13" s="187">
        <f t="shared" si="6"/>
        <v>1034</v>
      </c>
      <c r="AA13" s="187">
        <f t="shared" si="6"/>
        <v>1059</v>
      </c>
      <c r="AB13" s="187">
        <f t="shared" si="6"/>
        <v>224</v>
      </c>
      <c r="AC13" s="187">
        <f t="shared" si="6"/>
        <v>0</v>
      </c>
      <c r="AD13" s="187">
        <f t="shared" si="6"/>
        <v>0</v>
      </c>
      <c r="AE13" s="187">
        <f t="shared" si="6"/>
        <v>0</v>
      </c>
      <c r="AF13" s="187">
        <f>SUBTOTAL(9,AF9:AF12)</f>
        <v>0</v>
      </c>
      <c r="AG13" s="187">
        <f t="shared" ref="AG13:AT13" si="7">SUBTOTAL(9,AG8:AG12)</f>
        <v>261</v>
      </c>
      <c r="AH13" s="187">
        <f t="shared" si="7"/>
        <v>1044</v>
      </c>
      <c r="AI13" s="187">
        <f t="shared" si="7"/>
        <v>1077</v>
      </c>
      <c r="AJ13" s="187">
        <f t="shared" si="7"/>
        <v>228</v>
      </c>
      <c r="AK13" s="187">
        <f t="shared" si="7"/>
        <v>0</v>
      </c>
      <c r="AL13" s="187">
        <f t="shared" si="7"/>
        <v>0</v>
      </c>
      <c r="AM13" s="187">
        <f t="shared" si="7"/>
        <v>0</v>
      </c>
      <c r="AN13" s="187">
        <f t="shared" si="7"/>
        <v>0</v>
      </c>
      <c r="AO13" s="187">
        <f t="shared" si="7"/>
        <v>9</v>
      </c>
      <c r="AP13" s="187">
        <f t="shared" si="7"/>
        <v>8</v>
      </c>
      <c r="AQ13" s="187">
        <f t="shared" si="7"/>
        <v>8</v>
      </c>
      <c r="AR13" s="187">
        <f t="shared" si="7"/>
        <v>8</v>
      </c>
      <c r="AS13" s="187">
        <f t="shared" si="7"/>
        <v>0</v>
      </c>
      <c r="AT13" s="187">
        <f t="shared" si="7"/>
        <v>0</v>
      </c>
      <c r="AU13" s="207"/>
      <c r="AV13" s="132"/>
      <c r="AW13" s="207"/>
      <c r="AX13" s="132"/>
      <c r="AY13" s="187">
        <f>SUBTOTAL(9,AY8:AY12)</f>
        <v>6288</v>
      </c>
      <c r="AZ13" s="187">
        <f>SUBTOTAL(9,AZ8:AZ12)</f>
        <v>8137</v>
      </c>
      <c r="BA13" s="187">
        <f>SUBTOTAL(9,BA8:BA12)</f>
        <v>7956</v>
      </c>
      <c r="BB13" s="187">
        <f>SUBTOTAL(9,BB8:BB12)</f>
        <v>6375</v>
      </c>
      <c r="BC13" s="187">
        <f>SUBTOTAL(9,BC8:BC12)</f>
        <v>4212</v>
      </c>
      <c r="BD13" s="208">
        <f>IF(ISNUMBER(BA13/AZ13),BA13/AZ13," - ")</f>
        <v>0.97775592970382208</v>
      </c>
      <c r="BE13" s="209">
        <f>IF(ISNUMBER(BB13/BA13),BB13/BA13, " - ")</f>
        <v>0.80128205128205132</v>
      </c>
      <c r="BF13" s="209">
        <f>IF(ISNUMBER(BC13/BA13),BC13/BA13, " - ")</f>
        <v>0.52941176470588236</v>
      </c>
      <c r="BG13" s="210">
        <f>IF(ISNUMBER((AY13+AZ13)/BA13),(AY13+AZ13)/BA13," - ")</f>
        <v>1.813097033685269</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1583</v>
      </c>
      <c r="J16" s="186">
        <v>6901</v>
      </c>
      <c r="K16" s="186">
        <v>7049</v>
      </c>
      <c r="L16" s="186">
        <v>1629</v>
      </c>
      <c r="M16" s="186">
        <v>630</v>
      </c>
      <c r="N16" s="186">
        <v>4753</v>
      </c>
      <c r="O16" s="184">
        <v>7</v>
      </c>
      <c r="P16" s="186">
        <v>253</v>
      </c>
      <c r="Q16" s="186">
        <v>254</v>
      </c>
      <c r="R16" s="186">
        <v>255</v>
      </c>
      <c r="S16" s="186">
        <v>1337</v>
      </c>
      <c r="T16" s="186">
        <v>7182</v>
      </c>
      <c r="U16" s="186">
        <v>7050</v>
      </c>
      <c r="V16" s="186">
        <v>1583</v>
      </c>
      <c r="W16" s="186">
        <v>625</v>
      </c>
      <c r="X16" s="192">
        <v>4688</v>
      </c>
      <c r="Y16" s="205">
        <v>0</v>
      </c>
      <c r="Z16" s="186">
        <v>0</v>
      </c>
      <c r="AA16" s="186">
        <v>0</v>
      </c>
      <c r="AB16" s="186">
        <v>0</v>
      </c>
      <c r="AC16" s="186">
        <v>1</v>
      </c>
      <c r="AD16" s="186">
        <v>174</v>
      </c>
      <c r="AE16" s="186">
        <v>162</v>
      </c>
      <c r="AF16" s="192">
        <v>13</v>
      </c>
      <c r="AG16" s="205">
        <v>0</v>
      </c>
      <c r="AH16" s="186">
        <v>0</v>
      </c>
      <c r="AI16" s="186">
        <v>0</v>
      </c>
      <c r="AJ16" s="206">
        <v>0</v>
      </c>
      <c r="AK16" s="185">
        <v>5</v>
      </c>
      <c r="AL16" s="186">
        <v>165</v>
      </c>
      <c r="AM16" s="186">
        <v>169</v>
      </c>
      <c r="AN16" s="192">
        <v>1</v>
      </c>
      <c r="AO16" s="262">
        <v>8</v>
      </c>
      <c r="AP16" s="158">
        <v>8</v>
      </c>
      <c r="AQ16" s="158">
        <v>8</v>
      </c>
      <c r="AR16" s="158">
        <v>8</v>
      </c>
      <c r="AS16" s="343" t="s">
        <v>487</v>
      </c>
      <c r="AT16" s="206"/>
      <c r="AU16" s="205"/>
      <c r="AV16" s="206"/>
      <c r="AW16" s="205"/>
      <c r="AX16" s="206"/>
      <c r="AY16" s="126">
        <f t="shared" si="9"/>
        <v>1337</v>
      </c>
      <c r="AZ16" s="127">
        <f t="shared" si="9"/>
        <v>7182</v>
      </c>
      <c r="BA16" s="127">
        <f t="shared" si="9"/>
        <v>7050</v>
      </c>
      <c r="BB16" s="127">
        <f t="shared" si="9"/>
        <v>1583</v>
      </c>
      <c r="BC16" s="125">
        <f>IF(ISNUMBER(W16),W16," - ")</f>
        <v>625</v>
      </c>
      <c r="BD16" s="126">
        <f t="shared" ref="BD16" si="11">IF(ISNUMBER(BA16/AZ16),BA16/AZ16," - ")</f>
        <v>0.98162071846282373</v>
      </c>
      <c r="BE16" s="127">
        <f t="shared" ref="BE16" si="12">IF(ISNUMBER(BB16/BA16),BB16/BA16, " - ")</f>
        <v>0.22453900709219859</v>
      </c>
      <c r="BF16" s="127">
        <f t="shared" ref="BF16" si="13">IF(ISNUMBER(BC16/BA16),BC16/BA16, " - ")</f>
        <v>8.8652482269503549E-2</v>
      </c>
      <c r="BG16" s="199">
        <f t="shared" si="10"/>
        <v>1.2083687943262411</v>
      </c>
      <c r="BH16" s="158">
        <v>8</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229</v>
      </c>
      <c r="J17" s="186">
        <v>440</v>
      </c>
      <c r="K17" s="186">
        <v>446</v>
      </c>
      <c r="L17" s="186">
        <v>229</v>
      </c>
      <c r="M17" s="186">
        <v>50</v>
      </c>
      <c r="N17" s="186">
        <v>251</v>
      </c>
      <c r="O17" s="186">
        <v>0</v>
      </c>
      <c r="P17" s="186">
        <v>4</v>
      </c>
      <c r="Q17" s="186">
        <v>1</v>
      </c>
      <c r="R17" s="186">
        <v>16</v>
      </c>
      <c r="S17" s="186">
        <v>84</v>
      </c>
      <c r="T17" s="186">
        <v>418</v>
      </c>
      <c r="U17" s="186">
        <v>365</v>
      </c>
      <c r="V17" s="186">
        <v>229</v>
      </c>
      <c r="W17" s="186">
        <v>33</v>
      </c>
      <c r="X17" s="192">
        <v>218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84</v>
      </c>
      <c r="AZ17" s="129">
        <f t="shared" si="14"/>
        <v>418</v>
      </c>
      <c r="BA17" s="129">
        <f t="shared" si="14"/>
        <v>365</v>
      </c>
      <c r="BB17" s="129">
        <f t="shared" si="14"/>
        <v>229</v>
      </c>
      <c r="BC17" s="125">
        <f>IF(ISNUMBER(W17),W17," - ")</f>
        <v>33</v>
      </c>
      <c r="BD17" s="126">
        <f>IF(ISNUMBER(BA17/AZ17),BA17/AZ17," - ")</f>
        <v>0.87320574162679421</v>
      </c>
      <c r="BE17" s="127">
        <f>IF(ISNUMBER(BB17/BA17),BB17/BA17, " - ")</f>
        <v>0.62739726027397258</v>
      </c>
      <c r="BF17" s="127">
        <f>IF(ISNUMBER(BC17/BA17),BC17/BA17, " - ")</f>
        <v>9.0410958904109592E-2</v>
      </c>
      <c r="BG17" s="199">
        <f>IF(ISNUMBER((AY17+AZ17)/BA17),(AY17+AZ17)/BA17," - ")</f>
        <v>1.3753424657534246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1812</v>
      </c>
      <c r="J18" s="187">
        <f t="shared" si="15"/>
        <v>7341</v>
      </c>
      <c r="K18" s="187">
        <f t="shared" si="15"/>
        <v>7495</v>
      </c>
      <c r="L18" s="187">
        <f t="shared" si="15"/>
        <v>1858</v>
      </c>
      <c r="M18" s="187">
        <f t="shared" si="15"/>
        <v>680</v>
      </c>
      <c r="N18" s="187">
        <f t="shared" si="15"/>
        <v>5004</v>
      </c>
      <c r="O18" s="187">
        <f t="shared" si="15"/>
        <v>7</v>
      </c>
      <c r="P18" s="187">
        <f t="shared" si="15"/>
        <v>257</v>
      </c>
      <c r="Q18" s="187">
        <f t="shared" si="15"/>
        <v>255</v>
      </c>
      <c r="R18" s="187">
        <f t="shared" si="15"/>
        <v>271</v>
      </c>
      <c r="S18" s="187">
        <f t="shared" si="15"/>
        <v>1421</v>
      </c>
      <c r="T18" s="187">
        <f t="shared" si="15"/>
        <v>7600</v>
      </c>
      <c r="U18" s="187">
        <f t="shared" si="15"/>
        <v>7415</v>
      </c>
      <c r="V18" s="187">
        <f t="shared" si="15"/>
        <v>1812</v>
      </c>
      <c r="W18" s="187">
        <f t="shared" si="15"/>
        <v>658</v>
      </c>
      <c r="X18" s="187">
        <f t="shared" si="15"/>
        <v>4906</v>
      </c>
      <c r="Y18" s="187">
        <f t="shared" si="15"/>
        <v>0</v>
      </c>
      <c r="Z18" s="187">
        <f t="shared" si="15"/>
        <v>0</v>
      </c>
      <c r="AA18" s="187">
        <f t="shared" si="15"/>
        <v>0</v>
      </c>
      <c r="AB18" s="187">
        <f t="shared" si="15"/>
        <v>0</v>
      </c>
      <c r="AC18" s="187">
        <f t="shared" si="15"/>
        <v>1</v>
      </c>
      <c r="AD18" s="187">
        <f t="shared" si="15"/>
        <v>174</v>
      </c>
      <c r="AE18" s="187">
        <f t="shared" si="15"/>
        <v>162</v>
      </c>
      <c r="AF18" s="187">
        <f t="shared" si="15"/>
        <v>13</v>
      </c>
      <c r="AG18" s="187">
        <f t="shared" si="15"/>
        <v>0</v>
      </c>
      <c r="AH18" s="187">
        <f t="shared" si="15"/>
        <v>0</v>
      </c>
      <c r="AI18" s="187">
        <f t="shared" si="15"/>
        <v>0</v>
      </c>
      <c r="AJ18" s="187">
        <f t="shared" si="15"/>
        <v>0</v>
      </c>
      <c r="AK18" s="187">
        <f t="shared" si="15"/>
        <v>5</v>
      </c>
      <c r="AL18" s="187">
        <f t="shared" si="15"/>
        <v>165</v>
      </c>
      <c r="AM18" s="187">
        <f t="shared" si="15"/>
        <v>169</v>
      </c>
      <c r="AN18" s="187">
        <f t="shared" si="15"/>
        <v>1</v>
      </c>
      <c r="AO18" s="187">
        <f t="shared" si="15"/>
        <v>9</v>
      </c>
      <c r="AP18" s="187">
        <f t="shared" si="15"/>
        <v>8</v>
      </c>
      <c r="AQ18" s="187">
        <f t="shared" si="15"/>
        <v>8</v>
      </c>
      <c r="AR18" s="187">
        <f t="shared" si="15"/>
        <v>8</v>
      </c>
      <c r="AS18" s="187">
        <f t="shared" si="15"/>
        <v>0</v>
      </c>
      <c r="AT18" s="187">
        <f t="shared" si="15"/>
        <v>0</v>
      </c>
      <c r="AU18" s="207"/>
      <c r="AV18" s="132"/>
      <c r="AW18" s="207"/>
      <c r="AX18" s="132"/>
      <c r="AY18" s="187">
        <f>SUBTOTAL(9,AY14:AY17)</f>
        <v>1421</v>
      </c>
      <c r="AZ18" s="187">
        <f>SUBTOTAL(9,AZ14:AZ17)</f>
        <v>7600</v>
      </c>
      <c r="BA18" s="187">
        <f>SUBTOTAL(9,BA14:BA17)</f>
        <v>7415</v>
      </c>
      <c r="BB18" s="187">
        <f>SUBTOTAL(9,BB14:BB17)</f>
        <v>1812</v>
      </c>
      <c r="BC18" s="187">
        <f>SUBTOTAL(9,BC14:BC17)</f>
        <v>658</v>
      </c>
      <c r="BD18" s="208">
        <f>IF(ISNUMBER(BA18/AZ18),BA18/AZ18," - ")</f>
        <v>0.97565789473684206</v>
      </c>
      <c r="BE18" s="209">
        <f>IF(ISNUMBER(BB18/BA18),BB18/BA18, " - ")</f>
        <v>0.24436952124072825</v>
      </c>
      <c r="BF18" s="209">
        <f>IF(ISNUMBER(BC18/BA18),BC18/BA18, " - ")</f>
        <v>8.8739042481456504E-2</v>
      </c>
      <c r="BG18" s="210">
        <f>IF(ISNUMBER((AY18+AZ18)/BA18),(AY18+AZ18)/BA18," - ")</f>
        <v>1.2165879973027647</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7959</v>
      </c>
      <c r="J19" s="134">
        <f t="shared" si="18"/>
        <v>15510</v>
      </c>
      <c r="K19" s="134">
        <f t="shared" si="18"/>
        <v>14760</v>
      </c>
      <c r="L19" s="134">
        <f t="shared" si="18"/>
        <v>9873</v>
      </c>
      <c r="M19" s="134">
        <f t="shared" si="18"/>
        <v>1965</v>
      </c>
      <c r="N19" s="134">
        <f t="shared" si="18"/>
        <v>9466</v>
      </c>
      <c r="O19" s="134">
        <f t="shared" si="18"/>
        <v>2353</v>
      </c>
      <c r="P19" s="134">
        <f t="shared" si="18"/>
        <v>1991</v>
      </c>
      <c r="Q19" s="134">
        <f t="shared" si="18"/>
        <v>1698</v>
      </c>
      <c r="R19" s="134">
        <f t="shared" si="18"/>
        <v>9305</v>
      </c>
      <c r="S19" s="134">
        <f t="shared" si="18"/>
        <v>7448</v>
      </c>
      <c r="T19" s="134">
        <f t="shared" si="18"/>
        <v>14693</v>
      </c>
      <c r="U19" s="134">
        <f t="shared" si="18"/>
        <v>14294</v>
      </c>
      <c r="V19" s="134">
        <f t="shared" si="18"/>
        <v>7959</v>
      </c>
      <c r="W19" s="134">
        <f t="shared" si="18"/>
        <v>1953</v>
      </c>
      <c r="X19" s="134">
        <f t="shared" si="18"/>
        <v>9087</v>
      </c>
      <c r="Y19" s="134">
        <f t="shared" si="18"/>
        <v>228</v>
      </c>
      <c r="Z19" s="134">
        <f t="shared" si="18"/>
        <v>1034</v>
      </c>
      <c r="AA19" s="134">
        <f t="shared" si="18"/>
        <v>1059</v>
      </c>
      <c r="AB19" s="134">
        <f t="shared" si="18"/>
        <v>224</v>
      </c>
      <c r="AC19" s="134">
        <f t="shared" si="18"/>
        <v>1</v>
      </c>
      <c r="AD19" s="134">
        <f t="shared" si="18"/>
        <v>174</v>
      </c>
      <c r="AE19" s="134">
        <f t="shared" si="18"/>
        <v>162</v>
      </c>
      <c r="AF19" s="134">
        <f t="shared" si="18"/>
        <v>13</v>
      </c>
      <c r="AG19" s="134">
        <f t="shared" si="18"/>
        <v>261</v>
      </c>
      <c r="AH19" s="134">
        <f t="shared" si="18"/>
        <v>1044</v>
      </c>
      <c r="AI19" s="134">
        <f t="shared" si="18"/>
        <v>1077</v>
      </c>
      <c r="AJ19" s="134">
        <f t="shared" si="18"/>
        <v>228</v>
      </c>
      <c r="AK19" s="134">
        <f t="shared" si="18"/>
        <v>5</v>
      </c>
      <c r="AL19" s="134">
        <f t="shared" si="18"/>
        <v>165</v>
      </c>
      <c r="AM19" s="134">
        <f t="shared" si="18"/>
        <v>169</v>
      </c>
      <c r="AN19" s="213">
        <f t="shared" si="18"/>
        <v>1</v>
      </c>
      <c r="AO19" s="214">
        <v>9</v>
      </c>
      <c r="AP19" s="214">
        <v>8</v>
      </c>
      <c r="AQ19" s="214">
        <v>8</v>
      </c>
      <c r="AR19" s="214">
        <v>8</v>
      </c>
      <c r="AS19" s="156">
        <f t="shared" si="18"/>
        <v>0</v>
      </c>
      <c r="AT19" s="156">
        <f t="shared" si="18"/>
        <v>0</v>
      </c>
      <c r="AU19" s="214"/>
      <c r="AV19" s="215"/>
      <c r="AW19" s="214"/>
      <c r="AX19" s="215"/>
      <c r="AY19" s="133">
        <f>SUBTOTAL(9,AY9:AY18)</f>
        <v>7709</v>
      </c>
      <c r="AZ19" s="134">
        <f>SUBTOTAL(9,AZ9:AZ18)</f>
        <v>15737</v>
      </c>
      <c r="BA19" s="134">
        <f>SUBTOTAL(9,BA9:BA18)</f>
        <v>15371</v>
      </c>
      <c r="BB19" s="134">
        <f>SUBTOTAL(9,BB9:BB18)</f>
        <v>8187</v>
      </c>
      <c r="BC19" s="135">
        <f>SUBTOTAL(9,BC9:BC18)</f>
        <v>4870</v>
      </c>
      <c r="BD19" s="216">
        <f>IF(ISNUMBER(BA19/AZ19),BA19/AZ19," - ")</f>
        <v>0.97674270826714116</v>
      </c>
      <c r="BE19" s="213">
        <f>IF(ISNUMBER(BB19/BA19),BB19/BA19, " - ")</f>
        <v>0.53262637434129201</v>
      </c>
      <c r="BF19" s="213">
        <f>IF(ISNUMBER(BC19/BA19),BC19/BA19, " - ")</f>
        <v>0.31683039489948606</v>
      </c>
      <c r="BG19" s="135">
        <f>IF(ISNUMBER((AY19+AZ19)/BA19),(AY19+AZ19)/BA19," - ")</f>
        <v>1.5253399258343634</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hVep/A8pHUPS2DmBregRnuLIBzk+ygyw+x4yYLKKEg5DXMWXZOVYIZKqJG2EqaDJSajk0FLBgkN/D1xgeyexg==" saltValue="fefAEATPqiIuLOKxba3h6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Wx6CXixKS2zJEKTAH7E9bnBV4cTYgTkKRKO7fBT3xcCEVeA8kMVE9bPZ1BWmVI7TUz8nOR5/rP28Q5EfDLYrg==" saltValue="8JfZYv0NFD+zTpbd9EVjy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VALDEMORO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126</v>
      </c>
      <c r="G10" s="336">
        <f>IF(ISNUMBER(Datos!I10),Datos!I10," - ")</f>
        <v>126</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16</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29</v>
      </c>
      <c r="AC10" s="229">
        <f>IF(ISNUMBER(Datos!Q10),Datos!Q10," - ")</f>
        <v>7</v>
      </c>
      <c r="AD10" s="337"/>
      <c r="AE10" s="487"/>
      <c r="AF10" s="335">
        <f>IF(ISNUMBER(Datos!L10),Datos!L10,"-")</f>
        <v>139</v>
      </c>
      <c r="AG10" s="337"/>
      <c r="AH10" s="337"/>
      <c r="AI10" s="337"/>
      <c r="AJ10" s="337"/>
      <c r="AK10" s="337"/>
      <c r="AL10" s="482"/>
      <c r="AM10" s="338">
        <f>IF(ISNUMBER(Datos!R10),Datos!R10," - ")</f>
        <v>66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10</v>
      </c>
      <c r="BD10" s="232">
        <f>IF(ISNUMBER(Datos!N10),Datos!N10," - ")</f>
        <v>1</v>
      </c>
      <c r="BE10" s="232" t="str">
        <f>IF(ISNUMBER(Datos!BW10),Datos!BW10," - ")</f>
        <v xml:space="preserve"> - </v>
      </c>
      <c r="BF10" s="231" t="str">
        <f>IF(ISNUMBER(Datos!BX10),Datos!BX10," - ")</f>
        <v xml:space="preserve"> - </v>
      </c>
      <c r="BG10" s="246">
        <f>IF(ISNUMBER(Datos!K10/Datos!J10),Datos!K10/Datos!J10," - ")</f>
        <v>0.69047619047619047</v>
      </c>
      <c r="BH10" s="263">
        <f>IF(ISNUMBER(((Datos!L10/Datos!K10)*11)/factor_trimestre),((Datos!L10/Datos!K10)*11)/factor_trimestre," - ")</f>
        <v>52.724137931034484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0.15789473684210525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8</v>
      </c>
      <c r="B12" s="510" t="s">
        <v>246</v>
      </c>
      <c r="C12" s="7" t="str">
        <f>Datos!A12</f>
        <v xml:space="preserve">Jdos. 1ª Instª. e Instr.                        </v>
      </c>
      <c r="D12" s="511"/>
      <c r="E12" s="263">
        <f>IF(ISNUMBER(Datos!AQ12),Datos!AQ12," - ")</f>
        <v>8</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1034</v>
      </c>
      <c r="O12" s="337"/>
      <c r="P12" s="337"/>
      <c r="Q12" s="229">
        <f>IF(ISNUMBER(Datos!P12),Datos!P12,0)</f>
        <v>1718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1436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224</v>
      </c>
      <c r="AI12" s="337" t="str">
        <f>IF(ISNUMBER(Datos!CD12),Datos!CD12,"-")</f>
        <v>-</v>
      </c>
      <c r="AJ12" s="337" t="str">
        <f>IF(ISNUMBER(Datos!EN12),Datos!EN12," - ")</f>
        <v xml:space="preserve"> - </v>
      </c>
      <c r="AK12" s="337"/>
      <c r="AL12" s="482"/>
      <c r="AM12" s="338">
        <f>IF(ISNUMBER(Datos!R12),Datos!R12," - ")</f>
        <v>8968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1275</v>
      </c>
      <c r="BD12" s="232">
        <f>IF(ISNUMBER(Datos!N12),Datos!N12," - ")</f>
        <v>4461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0.90546883527999122</v>
      </c>
      <c r="BH12" s="263">
        <f>IF(ISNUMBER(((IF(J_V="SI",Datos!L12/Datos!K12,(Datos!L12+Datos!AB12)/(Datos!K12+Datos!AA12)))*11)/factor_trimestre),((IF(J_V="SI",Datos!L12/Datos!K12,(Datos!L12+Datos!AB12)/(Datos!K12+Datos!AA12)))*11)/factor_trimestre," - ")</f>
        <v>10.741410488245931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3.2466037301404557E-2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8</v>
      </c>
      <c r="F13" s="901">
        <f t="shared" si="0"/>
        <v>126</v>
      </c>
      <c r="G13" s="901">
        <f t="shared" si="0"/>
        <v>126</v>
      </c>
      <c r="H13" s="902">
        <f t="shared" si="0"/>
        <v>0</v>
      </c>
      <c r="I13" s="901">
        <f t="shared" si="0"/>
        <v>0</v>
      </c>
      <c r="J13" s="870">
        <f t="shared" si="0"/>
        <v>0</v>
      </c>
      <c r="K13" s="870">
        <f t="shared" si="0"/>
        <v>0</v>
      </c>
      <c r="L13" s="902">
        <f t="shared" si="0"/>
        <v>0</v>
      </c>
      <c r="M13" s="902">
        <f t="shared" si="0"/>
        <v>0</v>
      </c>
      <c r="N13" s="902">
        <f t="shared" si="0"/>
        <v>1034</v>
      </c>
      <c r="O13" s="903">
        <f t="shared" si="0"/>
        <v>0</v>
      </c>
      <c r="P13" s="903">
        <f t="shared" si="0"/>
        <v>0</v>
      </c>
      <c r="Q13" s="902">
        <f t="shared" si="0"/>
        <v>1734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29</v>
      </c>
      <c r="AC13" s="902">
        <f t="shared" si="1"/>
        <v>1443</v>
      </c>
      <c r="AD13" s="902">
        <f t="shared" si="1"/>
        <v>0</v>
      </c>
      <c r="AE13" s="902">
        <f t="shared" si="1"/>
        <v>0</v>
      </c>
      <c r="AF13" s="902">
        <f t="shared" si="1"/>
        <v>139</v>
      </c>
      <c r="AG13" s="902">
        <f t="shared" si="1"/>
        <v>0</v>
      </c>
      <c r="AH13" s="902">
        <f t="shared" si="1"/>
        <v>224</v>
      </c>
      <c r="AI13" s="902">
        <f t="shared" si="1"/>
        <v>0</v>
      </c>
      <c r="AJ13" s="902">
        <f t="shared" si="1"/>
        <v>0</v>
      </c>
      <c r="AK13" s="902">
        <f t="shared" si="1"/>
        <v>0</v>
      </c>
      <c r="AL13" s="902">
        <f t="shared" si="1"/>
        <v>0</v>
      </c>
      <c r="AM13" s="902">
        <f t="shared" si="1"/>
        <v>9034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1285</v>
      </c>
      <c r="BD13" s="902">
        <f t="shared" si="1"/>
        <v>4462</v>
      </c>
      <c r="BE13" s="902">
        <f t="shared" si="1"/>
        <v>0</v>
      </c>
      <c r="BF13" s="902">
        <f t="shared" si="1"/>
        <v>0</v>
      </c>
      <c r="BG13" s="902">
        <f>IF(ISNUMBER(Datos!K13/Datos!J13),Datos!K13/Datos!J13," - ")</f>
        <v>0.88933774023748313</v>
      </c>
      <c r="BH13" s="906">
        <f>IF(ISNUMBER(((Datos!L13/Datos!K13)*11)/factor_trimestre),((Datos!L13/Datos!K13)*11)/factor_trimestre," - ")</f>
        <v>12.135581555402615</v>
      </c>
      <c r="BI13" s="902">
        <f>IF(ISNUMBER('Resol  Asuntos'!D13/NºAsuntos!G13),'Resol  Asuntos'!D13/NºAsuntos!G13," - ")</f>
        <v>0.1543728976453628</v>
      </c>
      <c r="BJ13" s="902" t="str">
        <f>IF(ISNUMBER(Datos!CI13/Datos!CJ13),Datos!CI13/Datos!CJ13," - ")</f>
        <v xml:space="preserve"> - </v>
      </c>
      <c r="BK13" s="902">
        <f>SUBTOTAL(9,BK8:BK12)</f>
        <v>0</v>
      </c>
      <c r="BL13" s="902">
        <f>IF(ISNUMBER((I13-AB13+L13)/(F13)),(I13-AB13+L13)/(F13)," - ")</f>
        <v>-0.23015873015873015</v>
      </c>
      <c r="BM13" s="907">
        <f>SUBTOTAL(9,BM9:BM12)</f>
        <v>0.19036077414350983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8</v>
      </c>
      <c r="B16" s="597" t="s">
        <v>396</v>
      </c>
      <c r="C16" s="603" t="str">
        <f>Datos!A16</f>
        <v xml:space="preserve">Jdos. 1ª Instª. e Instr.                        </v>
      </c>
      <c r="D16" s="604"/>
      <c r="E16" s="1168">
        <f>IF(ISNUMBER(Datos!AQ16),Datos!AQ16," - ")</f>
        <v>8</v>
      </c>
      <c r="F16" s="598">
        <f>IF(ISNUMBER(AF16+AB16-Datos!J16-L16),AF16+AB16-Datos!J16-L16," - ")</f>
        <v>1777</v>
      </c>
      <c r="G16" s="601">
        <f>IF(ISNUMBER(IF(D_I="SI",Datos!I16,Datos!I16+Datos!AC16)),IF(D_I="SI",Datos!I16,Datos!I16+Datos!AC16)," - ")</f>
        <v>1583</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253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7049</v>
      </c>
      <c r="AC16" s="229">
        <f>IF(ISNUMBER(Datos!Q16),Datos!Q16," - ")</f>
        <v>254</v>
      </c>
      <c r="AD16" s="337"/>
      <c r="AE16" s="487"/>
      <c r="AF16" s="599">
        <f>IF(ISNUMBER(IF(D_I="SI",Datos!L16,Datos!L16+Datos!AF16)),IF(D_I="SI",Datos!L16,Datos!L16+Datos!AF16)," - ")</f>
        <v>1629</v>
      </c>
      <c r="AG16" s="337"/>
      <c r="AH16" s="337"/>
      <c r="AI16" s="337"/>
      <c r="AJ16" s="337"/>
      <c r="AK16" s="337"/>
      <c r="AL16" s="482"/>
      <c r="AM16" s="338">
        <f>IF(ISNUMBER(Datos!R16),Datos!R16," - ")</f>
        <v>255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630</v>
      </c>
      <c r="BD16" s="232">
        <f>IF(ISNUMBER(Datos!N16),Datos!N16," - ")</f>
        <v>4753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1.0214461672221418</v>
      </c>
      <c r="BH16" s="263">
        <f>IF(ISNUMBER(((IF(D_I="SI",Datos!L16/Datos!K16,(Datos!L16+Datos!AF16)/(Datos!K16+Datos!AE16)))*11)/factor_trimestre),((IF(D_I="SI",Datos!L16/Datos!K16,(Datos!L16+Datos!AF16)/(Datos!K16+Datos!AE16)))*11)/factor_trimestre," - ")</f>
        <v>2.5420627039296355</v>
      </c>
      <c r="BI16" s="246">
        <f>IF(ISNUMBER('Resol  Asuntos'!D16/NºAsuntos!G16),'Resol  Asuntos'!D16/NºAsuntos!G16," - ")</f>
        <v>8.937437934458789E-2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229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446</v>
      </c>
      <c r="AC17" s="229">
        <f>IF(ISNUMBER(Datos!Q17),Datos!Q17," - ")</f>
        <v>1</v>
      </c>
      <c r="AD17" s="337"/>
      <c r="AE17" s="487"/>
      <c r="AF17" s="335">
        <f>IF(ISNUMBER(Datos!L17),Datos!L17,"-")</f>
        <v>229</v>
      </c>
      <c r="AG17" s="337"/>
      <c r="AH17" s="337"/>
      <c r="AI17" s="337"/>
      <c r="AJ17" s="337"/>
      <c r="AK17" s="337"/>
      <c r="AL17" s="482"/>
      <c r="AM17" s="338">
        <f>IF(ISNUMBER(Datos!R17),Datos!R17," - ")</f>
        <v>16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50</v>
      </c>
      <c r="BD17" s="232">
        <f>IF(ISNUMBER(Datos!N17),Datos!N17," - ")</f>
        <v>251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1.0136363636363637</v>
      </c>
      <c r="BH17" s="263">
        <f>IF(ISNUMBER(((IF(D_I="SI",Datos!L17/Datos!K17,(Datos!L17+Datos!AF17)/(Datos!K17+Datos!AE17)))*11)/factor_trimestre),((IF(D_I="SI",Datos!L17/Datos!K17,(Datos!L17+Datos!AF17)/(Datos!K17+Datos!AE17)))*11)/factor_trimestre," - ")</f>
        <v>5.6479820627802697</v>
      </c>
      <c r="BI17" s="246">
        <f>IF(ISNUMBER('Resol  Asuntos'!D17/NºAsuntos!G17),'Resol  Asuntos'!D17/NºAsuntos!G17," - ")</f>
        <v>0.11210762331838565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8</v>
      </c>
      <c r="F18" s="901">
        <f>SUBTOTAL(9,F15:F17)</f>
        <v>1777</v>
      </c>
      <c r="G18" s="901">
        <f>SUBTOTAL(9,G15:G17)</f>
        <v>1812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257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7495</v>
      </c>
      <c r="AC18" s="902">
        <f t="shared" si="4"/>
        <v>255</v>
      </c>
      <c r="AD18" s="902">
        <f t="shared" si="4"/>
        <v>0</v>
      </c>
      <c r="AE18" s="902">
        <f t="shared" si="4"/>
        <v>0</v>
      </c>
      <c r="AF18" s="902">
        <f t="shared" si="4"/>
        <v>1858</v>
      </c>
      <c r="AG18" s="902">
        <f t="shared" si="4"/>
        <v>0</v>
      </c>
      <c r="AH18" s="902">
        <f t="shared" si="4"/>
        <v>0</v>
      </c>
      <c r="AI18" s="902">
        <f t="shared" si="4"/>
        <v>0</v>
      </c>
      <c r="AJ18" s="902">
        <f t="shared" si="4"/>
        <v>0</v>
      </c>
      <c r="AK18" s="902">
        <f t="shared" si="4"/>
        <v>0</v>
      </c>
      <c r="AL18" s="902">
        <f t="shared" si="4"/>
        <v>0</v>
      </c>
      <c r="AM18" s="902">
        <f t="shared" si="4"/>
        <v>271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680</v>
      </c>
      <c r="BD18" s="902">
        <f t="shared" si="4"/>
        <v>5004</v>
      </c>
      <c r="BE18" s="902">
        <f t="shared" si="4"/>
        <v>0</v>
      </c>
      <c r="BF18" s="902">
        <f t="shared" si="4"/>
        <v>0</v>
      </c>
      <c r="BG18" s="902">
        <f>IF(ISNUMBER(Datos!K18/Datos!J18),Datos!K18/Datos!J18," - ")</f>
        <v>1.020978068383054</v>
      </c>
      <c r="BH18" s="906">
        <f>IF(ISNUMBER(((Datos!L18/Datos!K18)*11)/factor_trimestre),((Datos!L18/Datos!K18)*11)/factor_trimestre," - ")</f>
        <v>2.7268845897264842</v>
      </c>
      <c r="BI18" s="902">
        <f>SUBTOTAL(9,BI15:BI17)</f>
        <v>0.20148200266297356</v>
      </c>
      <c r="BJ18" s="902">
        <f>SUBTOTAL(9,BJ15:BJ17)</f>
        <v>0</v>
      </c>
      <c r="BK18" s="902">
        <f>SUBTOTAL(9,BK15:BK17)</f>
        <v>0</v>
      </c>
      <c r="BL18" s="902">
        <f>IF(ISNUMBER((I18-AB18+L18)/(F18)),(I18-AB18+L18)/(F18)," - ")</f>
        <v>-4.2177827799662353</v>
      </c>
      <c r="BM18" s="908">
        <f>IF(ISNUMBER((Datos!P18-Datos!Q18)/(Datos!R18-Datos!P18+Datos!Q18)),(Datos!P18-Datos!Q18)/(Datos!R18-Datos!P18+Datos!Q18)," - ")</f>
        <v>7.4349442379182153E-3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16</v>
      </c>
      <c r="F19" s="823">
        <f t="shared" si="6"/>
        <v>1903</v>
      </c>
      <c r="G19" s="823">
        <f t="shared" si="6"/>
        <v>1938</v>
      </c>
      <c r="H19" s="825">
        <f t="shared" si="6"/>
        <v>0</v>
      </c>
      <c r="I19" s="823">
        <f t="shared" si="6"/>
        <v>0</v>
      </c>
      <c r="J19" s="825">
        <f t="shared" si="6"/>
        <v>0</v>
      </c>
      <c r="K19" s="825">
        <f t="shared" si="6"/>
        <v>0</v>
      </c>
      <c r="L19" s="884">
        <f t="shared" si="6"/>
        <v>0</v>
      </c>
      <c r="M19" s="884">
        <f t="shared" si="6"/>
        <v>0</v>
      </c>
      <c r="N19" s="884">
        <f t="shared" si="6"/>
        <v>1034</v>
      </c>
      <c r="O19" s="884">
        <f t="shared" si="6"/>
        <v>0</v>
      </c>
      <c r="P19" s="884">
        <f t="shared" si="6"/>
        <v>0</v>
      </c>
      <c r="Q19" s="825">
        <f t="shared" si="6"/>
        <v>1991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7524</v>
      </c>
      <c r="AC19" s="824">
        <f t="shared" si="7"/>
        <v>1698</v>
      </c>
      <c r="AD19" s="824">
        <f t="shared" si="7"/>
        <v>0</v>
      </c>
      <c r="AE19" s="824">
        <f t="shared" si="7"/>
        <v>0</v>
      </c>
      <c r="AF19" s="831">
        <f t="shared" si="7"/>
        <v>1997</v>
      </c>
      <c r="AG19" s="831">
        <f t="shared" si="7"/>
        <v>0</v>
      </c>
      <c r="AH19" s="831">
        <f t="shared" si="7"/>
        <v>224</v>
      </c>
      <c r="AI19" s="831">
        <f t="shared" si="7"/>
        <v>0</v>
      </c>
      <c r="AJ19" s="824">
        <f t="shared" si="7"/>
        <v>0</v>
      </c>
      <c r="AK19" s="831">
        <f t="shared" si="7"/>
        <v>0</v>
      </c>
      <c r="AL19" s="831">
        <f t="shared" si="7"/>
        <v>0</v>
      </c>
      <c r="AM19" s="831">
        <f t="shared" si="7"/>
        <v>9305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1965</v>
      </c>
      <c r="BD19" s="823">
        <f t="shared" si="7"/>
        <v>9466</v>
      </c>
      <c r="BE19" s="823">
        <f t="shared" si="7"/>
        <v>0</v>
      </c>
      <c r="BF19" s="833">
        <f t="shared" si="7"/>
        <v>0</v>
      </c>
      <c r="BG19" s="918">
        <f>IF(ISNUMBER(Datos!K19/Datos!J19),Datos!K19/Datos!J19," - ")</f>
        <v>0.95164410058027082</v>
      </c>
      <c r="BH19" s="918">
        <f>IF(ISNUMBER(((Datos!L19/Datos!K19)*11)/factor_trimestre),((Datos!L19/Datos!K19)*11)/factor_trimestre," - ")</f>
        <v>7.3579268292682931</v>
      </c>
      <c r="BI19" s="816">
        <f>IF(ISNUMBER(Datos!J19/Datos!I19),Datos!J19/Datos!I19," - ")</f>
        <v>1.9487372785525821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-3.953757225433526</v>
      </c>
      <c r="BM19" s="892">
        <f>IF(ISNUMBER((Datos!P19-Datos!Q19+R19)/(Datos!R19-Datos!P19+Datos!Q19-R19)),(Datos!P19-Datos!Q19+R19)/(Datos!R19-Datos!P19+Datos!Q19-R19)," - ")</f>
        <v>3.251220594762539E-2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775.2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4.2163702135578394</v>
      </c>
      <c r="F21" s="554">
        <f>IF(ISNUMBER(STDEV(F8:F18)),STDEV(F8:F18),"-")</f>
        <v>953.20529443207215</v>
      </c>
      <c r="G21" s="555">
        <f>IF(ISNUMBER(STDEV(G8:G18)),STDEV(G8:G18),"-")</f>
        <v>846.8693523796926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3897.9341708140737</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559.39252765835192</v>
      </c>
      <c r="BD21" s="554"/>
      <c r="BE21" s="554">
        <f>IF(ISNUMBER(STDEV(BE8:BE18)),STDEV(BE8:BE18),"-")</f>
        <v>0</v>
      </c>
      <c r="BF21" s="559">
        <f>IF(ISNUMBER(STDEV(BF8:BF18)),STDEV(BF8:BF18),"-")</f>
        <v>0</v>
      </c>
      <c r="BG21" s="778">
        <f>IF(ISNUMBER(STDEV(BG8:BG18)),STDEV(BG8:BG18),"-")</f>
        <v>0.12885049366383308</v>
      </c>
      <c r="BH21" s="779">
        <f>IF(ISNUMBER(STDEV(BH8:BH18)),STDEV(BH8:BH18),"-")</f>
        <v>19.187080088102409</v>
      </c>
      <c r="BI21" s="252">
        <f>IF(ISNUMBER(STDEV(BI8:BI18)),STDEV(BI8:BI18),"-")</f>
        <v>4.9415861017904843E-2</v>
      </c>
      <c r="BJ21" s="233" t="str">
        <f>IF(ISNUMBER(BL21/BM21),BL21/BM21," - ")</f>
        <v xml:space="preserve"> - </v>
      </c>
      <c r="BK21" s="578"/>
      <c r="BL21" s="562">
        <f>IF(ISNUMBER(STDEV(BL8:BL18)),STDEV(BL8:BL18),"-")</f>
        <v>2.8196760064414499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zr/ZalXxMfXq8bsJc2SnTwzFrHd7Q1h0P9xxE1F+K6Po7DmK8lPXZ0bU6O6qtOwqFsD4S257O2uKvSG6HQHmLg==" saltValue="Zp3OilLG/CkdZEmyNyp+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VALDEMORO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126</v>
      </c>
      <c r="G10" s="228">
        <f>IF(ISNUMBER(Datos!I10),Datos!I10," - ")</f>
        <v>126</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16</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29</v>
      </c>
      <c r="Z10" s="622">
        <f>IF(ISNUMBER(Datos!Q10),Datos!Q10," - ")</f>
        <v>7</v>
      </c>
      <c r="AA10" s="335">
        <f>IF(ISNUMBER(Datos!L10),Datos!L10,"-")</f>
        <v>139</v>
      </c>
      <c r="AB10" s="337"/>
      <c r="AC10" s="337"/>
      <c r="AD10" s="487"/>
      <c r="AE10" s="487">
        <f>IF(ISNUMBER(Datos!R10),Datos!R10," - ")</f>
        <v>66</v>
      </c>
      <c r="AF10" s="232" t="str">
        <f>IF(ISNUMBER(Datos!BV10),Datos!BV10," - ")</f>
        <v xml:space="preserve"> - </v>
      </c>
      <c r="AG10" s="228" t="str">
        <f>IF(ISNUMBER(Datos!DV10),Datos!DV10," - ")</f>
        <v xml:space="preserve"> - </v>
      </c>
      <c r="AH10" s="301"/>
      <c r="AI10" s="230"/>
      <c r="AJ10" s="228">
        <f>IF(ISNUMBER(Datos!M10),Datos!M10," - ")</f>
        <v>10</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52.724137931034484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0.15789473684210525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8</v>
      </c>
      <c r="B12" s="510" t="s">
        <v>246</v>
      </c>
      <c r="C12" s="7" t="str">
        <f>Datos!A12</f>
        <v xml:space="preserve">Jdos. 1ª Instª. e Instr.                        </v>
      </c>
      <c r="D12" s="511"/>
      <c r="E12" s="1171">
        <f>IF(ISNUMBER(Datos!AQ12),Datos!AQ12," - ")</f>
        <v>8</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1718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1436</v>
      </c>
      <c r="AA12" s="335" t="str">
        <f>IF(ISNUMBER(IF(J_V="SI",Datos!L12,Datos!L12+Datos!AB12)-IF(Monitorios="SI",Datos!CD12,0)),
                          IF(J_V="SI",Datos!L12,Datos!L12+Datos!AB12)-IF(Monitorios="SI",Datos!CD12,0),
                          " - ")</f>
        <v xml:space="preserve"> - </v>
      </c>
      <c r="AB12" s="337"/>
      <c r="AC12" s="337"/>
      <c r="AD12" s="487"/>
      <c r="AE12" s="487">
        <f>IF(ISNUMBER(Datos!R12),Datos!R12," - ")</f>
        <v>8968</v>
      </c>
      <c r="AF12" s="232" t="str">
        <f>IF(ISNUMBER(Datos!BV12),Datos!BV12," - ")</f>
        <v xml:space="preserve"> - </v>
      </c>
      <c r="AG12" s="228" t="str">
        <f>IF(ISNUMBER(Datos!DV12),Datos!DV12," - ")</f>
        <v xml:space="preserve"> - </v>
      </c>
      <c r="AH12" s="301"/>
      <c r="AI12" s="230"/>
      <c r="AJ12" s="228">
        <f>IF(ISNUMBER(Datos!M12),Datos!M12," - ")</f>
        <v>1275</v>
      </c>
      <c r="AK12" s="232">
        <f>IF(ISNUMBER(Datos!N12),Datos!N12," - ")</f>
        <v>4461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10.741410488245931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3.2466037301404557E-2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8</v>
      </c>
      <c r="F13" s="901">
        <f>SUBTOTAL(9,F8:F12)</f>
        <v>126</v>
      </c>
      <c r="G13" s="901">
        <f>SUBTOTAL(9,G8:G12)</f>
        <v>126</v>
      </c>
      <c r="H13" s="911"/>
      <c r="I13" s="901">
        <f t="shared" ref="I13:N13" si="0">SUBTOTAL(9,I8:I12)</f>
        <v>0</v>
      </c>
      <c r="J13" s="870">
        <f t="shared" si="0"/>
        <v>0</v>
      </c>
      <c r="K13" s="911">
        <f t="shared" si="0"/>
        <v>0</v>
      </c>
      <c r="L13" s="911">
        <f t="shared" si="0"/>
        <v>0</v>
      </c>
      <c r="M13" s="911">
        <f t="shared" si="0"/>
        <v>0</v>
      </c>
      <c r="N13" s="911">
        <f t="shared" si="0"/>
        <v>1734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29</v>
      </c>
      <c r="Z13" s="910">
        <f t="shared" si="2"/>
        <v>1443</v>
      </c>
      <c r="AA13" s="903">
        <f t="shared" si="2"/>
        <v>139</v>
      </c>
      <c r="AB13" s="903">
        <f t="shared" si="2"/>
        <v>0</v>
      </c>
      <c r="AC13" s="903">
        <f t="shared" si="2"/>
        <v>0</v>
      </c>
      <c r="AD13" s="903">
        <f t="shared" si="2"/>
        <v>0</v>
      </c>
      <c r="AE13" s="903">
        <f t="shared" si="2"/>
        <v>9034</v>
      </c>
      <c r="AF13" s="911">
        <f t="shared" si="2"/>
        <v>0</v>
      </c>
      <c r="AG13" s="911">
        <f t="shared" si="2"/>
        <v>0</v>
      </c>
      <c r="AH13" s="911">
        <f t="shared" si="2"/>
        <v>0</v>
      </c>
      <c r="AI13" s="911">
        <f t="shared" si="2"/>
        <v>0</v>
      </c>
      <c r="AJ13" s="911">
        <f t="shared" si="2"/>
        <v>1285</v>
      </c>
      <c r="AK13" s="911">
        <f t="shared" si="2"/>
        <v>4462</v>
      </c>
      <c r="AL13" s="911">
        <f t="shared" si="2"/>
        <v>0</v>
      </c>
      <c r="AM13" s="911">
        <f t="shared" si="2"/>
        <v>0</v>
      </c>
      <c r="AN13" s="911">
        <f t="shared" si="2"/>
        <v>0</v>
      </c>
      <c r="AO13" s="907">
        <f>IF(ISNUMBER(((NºAsuntos!I13/NºAsuntos!G13)*11)/factor_trimestre),((NºAsuntos!I13/NºAsuntos!G13)*11)/factor_trimestre," - ")</f>
        <v>10.88767419509851</v>
      </c>
      <c r="AP13" s="913" t="str">
        <f>IF(ISNUMBER(Datos!CI13/Datos!CJ13),Datos!CI13/Datos!CJ13," - ")</f>
        <v xml:space="preserve"> - </v>
      </c>
      <c r="AQ13" s="931">
        <f t="shared" ref="AQ13:AV13" si="3">SUBTOTAL(9,AQ9:AQ12)</f>
        <v>0</v>
      </c>
      <c r="AR13" s="931">
        <f t="shared" si="3"/>
        <v>0.19036077414350983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8</v>
      </c>
      <c r="B16" s="510" t="s">
        <v>396</v>
      </c>
      <c r="C16" s="163" t="str">
        <f>Datos!A16</f>
        <v xml:space="preserve">Jdos. 1ª Instª. e Instr.                        </v>
      </c>
      <c r="D16" s="505"/>
      <c r="E16" s="1171">
        <f>IF(ISNUMBER(Datos!AQ16),Datos!AQ16," - ")</f>
        <v>8</v>
      </c>
      <c r="F16" s="336">
        <f>IF(ISNUMBER(AA16+Y16-Datos!J16-K15),AA16+Y16-Datos!J16-K15," - ")</f>
        <v>1777</v>
      </c>
      <c r="G16" s="228">
        <f>IF(ISNUMBER(IF(D_I="SI",Datos!I16,Datos!I16+Datos!AC16)),IF(D_I="SI",Datos!I16,Datos!I16+Datos!AC16)," - ")</f>
        <v>1583</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253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7049</v>
      </c>
      <c r="Z16" s="622">
        <f>IF(ISNUMBER(Datos!Q16),Datos!Q16," - ")</f>
        <v>254</v>
      </c>
      <c r="AA16" s="335">
        <f>IF(ISNUMBER(IF(D_I="SI",Datos!L16,Datos!L16+Datos!AF16)),IF(D_I="SI",Datos!L16,Datos!L16+Datos!AF16)," - ")</f>
        <v>1629</v>
      </c>
      <c r="AB16" s="337"/>
      <c r="AC16" s="337"/>
      <c r="AD16" s="487"/>
      <c r="AE16" s="487">
        <f>IF(ISNUMBER(Datos!R16),Datos!R16," - ")</f>
        <v>255</v>
      </c>
      <c r="AF16" s="232" t="str">
        <f>IF(ISNUMBER(Datos!BV16),Datos!BV16," - ")</f>
        <v xml:space="preserve"> - </v>
      </c>
      <c r="AG16" s="228"/>
      <c r="AH16" s="301"/>
      <c r="AI16" s="230"/>
      <c r="AJ16" s="228">
        <f>IF(ISNUMBER(Datos!M16),Datos!M16," - ")</f>
        <v>630</v>
      </c>
      <c r="AK16" s="232">
        <f>IF(ISNUMBER(Datos!N16),Datos!N16," - ")</f>
        <v>4753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2.5420627039296355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229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446</v>
      </c>
      <c r="Z17" s="622">
        <f>IF(ISNUMBER(Datos!Q17),Datos!Q17," - ")</f>
        <v>1</v>
      </c>
      <c r="AA17" s="335">
        <f>IF(ISNUMBER(Datos!L17),Datos!L17,"-")</f>
        <v>229</v>
      </c>
      <c r="AB17" s="337"/>
      <c r="AC17" s="337"/>
      <c r="AD17" s="487"/>
      <c r="AE17" s="487">
        <f>IF(ISNUMBER(Datos!R17),Datos!R17," - ")</f>
        <v>16</v>
      </c>
      <c r="AF17" s="232" t="str">
        <f>IF(ISNUMBER(Datos!BV17),Datos!BV17," - ")</f>
        <v xml:space="preserve"> - </v>
      </c>
      <c r="AG17" s="228" t="str">
        <f>IF(ISNUMBER(Datos!DV17),Datos!DV17," - ")</f>
        <v xml:space="preserve"> - </v>
      </c>
      <c r="AH17" s="301"/>
      <c r="AI17" s="230"/>
      <c r="AJ17" s="228">
        <f>IF(ISNUMBER(Datos!M17),Datos!M17," - ")</f>
        <v>50</v>
      </c>
      <c r="AK17" s="232">
        <f>IF(ISNUMBER(Datos!N17),Datos!N17," - ")</f>
        <v>251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5.6479820627802697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8</v>
      </c>
      <c r="F18" s="901">
        <f>SUBTOTAL(9,F15:F17)</f>
        <v>1777</v>
      </c>
      <c r="G18" s="901">
        <f>SUBTOTAL(9,G15:G17)</f>
        <v>1812</v>
      </c>
      <c r="H18" s="935">
        <f>SUBTOTAL(9,H15:H17)</f>
        <v>0</v>
      </c>
      <c r="I18" s="914">
        <f>SUBTOTAL(9,I15:I17)</f>
        <v>0</v>
      </c>
      <c r="J18" s="870">
        <f>SUBTOTAL(9,J14:J17)</f>
        <v>0</v>
      </c>
      <c r="K18" s="935">
        <f t="shared" ref="K18:S18" si="4">SUBTOTAL(9,K15:K17)</f>
        <v>0</v>
      </c>
      <c r="L18" s="935">
        <f t="shared" si="4"/>
        <v>0</v>
      </c>
      <c r="M18" s="935">
        <f t="shared" si="4"/>
        <v>0</v>
      </c>
      <c r="N18" s="935">
        <f t="shared" si="4"/>
        <v>257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7495</v>
      </c>
      <c r="Z18" s="935">
        <f t="shared" si="5"/>
        <v>255</v>
      </c>
      <c r="AA18" s="935">
        <f t="shared" si="5"/>
        <v>1858</v>
      </c>
      <c r="AB18" s="935">
        <f t="shared" si="5"/>
        <v>0</v>
      </c>
      <c r="AC18" s="935">
        <f t="shared" si="5"/>
        <v>0</v>
      </c>
      <c r="AD18" s="935">
        <f t="shared" si="5"/>
        <v>0</v>
      </c>
      <c r="AE18" s="935">
        <f t="shared" si="5"/>
        <v>271</v>
      </c>
      <c r="AF18" s="935">
        <f t="shared" si="5"/>
        <v>0</v>
      </c>
      <c r="AG18" s="935">
        <f t="shared" si="5"/>
        <v>0</v>
      </c>
      <c r="AH18" s="935">
        <f t="shared" si="5"/>
        <v>0</v>
      </c>
      <c r="AI18" s="935">
        <f t="shared" si="5"/>
        <v>0</v>
      </c>
      <c r="AJ18" s="935">
        <f t="shared" si="5"/>
        <v>680</v>
      </c>
      <c r="AK18" s="935">
        <f t="shared" si="5"/>
        <v>5004</v>
      </c>
      <c r="AL18" s="935">
        <f t="shared" si="5"/>
        <v>0</v>
      </c>
      <c r="AM18" s="935">
        <f t="shared" si="5"/>
        <v>0</v>
      </c>
      <c r="AN18" s="935">
        <f t="shared" si="5"/>
        <v>0</v>
      </c>
      <c r="AO18" s="937">
        <f>IF(ISNUMBER(((NºAsuntos!I18/NºAsuntos!G18)*11)/factor_trimestre),((NºAsuntos!I18/NºAsuntos!G18)*11)/factor_trimestre," - ")</f>
        <v>2.7268845897264842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1903</v>
      </c>
      <c r="G19" s="823">
        <f t="shared" si="7"/>
        <v>1938</v>
      </c>
      <c r="H19" s="824">
        <f t="shared" si="7"/>
        <v>0</v>
      </c>
      <c r="I19" s="823">
        <f t="shared" si="7"/>
        <v>0</v>
      </c>
      <c r="J19" s="825">
        <f t="shared" si="7"/>
        <v>0</v>
      </c>
      <c r="K19" s="823">
        <f t="shared" si="7"/>
        <v>0</v>
      </c>
      <c r="L19" s="826">
        <f t="shared" si="7"/>
        <v>0</v>
      </c>
      <c r="M19" s="823">
        <f t="shared" si="7"/>
        <v>0</v>
      </c>
      <c r="N19" s="824">
        <f t="shared" si="7"/>
        <v>1991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7524</v>
      </c>
      <c r="Z19" s="830">
        <f t="shared" si="8"/>
        <v>1698</v>
      </c>
      <c r="AA19" s="831">
        <f t="shared" si="8"/>
        <v>1997</v>
      </c>
      <c r="AB19" s="831">
        <f t="shared" si="8"/>
        <v>0</v>
      </c>
      <c r="AC19" s="831">
        <f t="shared" si="8"/>
        <v>0</v>
      </c>
      <c r="AD19" s="832">
        <f t="shared" si="8"/>
        <v>0</v>
      </c>
      <c r="AE19" s="832">
        <f t="shared" si="8"/>
        <v>9305</v>
      </c>
      <c r="AF19" s="833">
        <f t="shared" si="8"/>
        <v>0</v>
      </c>
      <c r="AG19" s="834">
        <f t="shared" si="8"/>
        <v>0</v>
      </c>
      <c r="AH19" s="835">
        <f t="shared" si="8"/>
        <v>0</v>
      </c>
      <c r="AI19" s="833">
        <f t="shared" si="8"/>
        <v>0</v>
      </c>
      <c r="AJ19" s="823">
        <f t="shared" si="8"/>
        <v>1965</v>
      </c>
      <c r="AK19" s="823">
        <f t="shared" si="8"/>
        <v>9466</v>
      </c>
      <c r="AL19" s="823">
        <f t="shared" si="8"/>
        <v>0</v>
      </c>
      <c r="AM19" s="836">
        <f t="shared" si="8"/>
        <v>0</v>
      </c>
      <c r="AN19" s="826">
        <f>IF(ISNUMBER(Datos!K19/Datos!J19),Datos!K19/Datos!J19," - ")</f>
        <v>0.95164410058027082</v>
      </c>
      <c r="AO19" s="826">
        <f>IF(ISNUMBER(FIND("06",Criterios!A8,1)),(IF(ISNUMBER(((Datos!R19/Datos!Q19)*11)/factor_trimestre),((Datos!R19/Datos!Q19)*11)/factor_trimestre," - ")),(IF(ISNUMBER(((Datos!L19/Datos!K19)*11)/factor_trimestre),((Datos!L19/Datos!K19)*11)/factor_trimestre," - ")))</f>
        <v>7.3579268292682931</v>
      </c>
      <c r="AP19" s="837" t="str">
        <f>IF(ISNUMBER(Datos!CI19/Datos!CJ19),Datos!CI19/Datos!CJ19," - ")</f>
        <v xml:space="preserve"> - </v>
      </c>
      <c r="AQ19" s="837">
        <f>IF(OR(ISNUMBER(FIND("01",Criterios!A8,1)),ISNUMBER(FIND("02",Criterios!A8,1)),ISNUMBER(FIND("03",Criterios!A8,1)),ISNUMBER(FIND("04",Criterios!A8,1))),(J19-Y19+K19)/(F19-K19),(I19-Y19+K19)/(F19-K19))</f>
        <v>-3.953757225433526</v>
      </c>
      <c r="AR19" s="837">
        <f>IF(ISNUMBER((Datos!P19-Datos!Q19+O19)/(Datos!R19-Datos!P19+Datos!Q19-O19)),(Datos!P19-Datos!Q19+O19)/(Datos!R19-Datos!P19+Datos!Q19-O19)," - ")</f>
        <v>3.251220594762539E-2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775.2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953.20529443207215</v>
      </c>
      <c r="G21" s="555">
        <f>IF(ISNUMBER(STDEV(G8:G18)),STDEV(G8:G18),"-")</f>
        <v>846.8693523796926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559.39252765835192</v>
      </c>
      <c r="AK21" s="255"/>
      <c r="AL21" s="255">
        <f>IF(ISNUMBER(STDEV(AL8:AL18)),STDEV(AL8:AL18),"-")</f>
        <v>0</v>
      </c>
      <c r="AM21" s="257">
        <f>IF(ISNUMBER(STDEV(AM8:AM18)),STDEV(AM8:AM18),"-")</f>
        <v>0</v>
      </c>
      <c r="AN21" s="542">
        <f>IF(ISNUMBER(STDEV(AN8:AN18)),STDEV(AN8:AN18),"-")</f>
        <v>0</v>
      </c>
      <c r="AO21" s="543">
        <f>IF(ISNUMBER(STDEV(AO8:AO18)),STDEV(AO8:AO18),"-")</f>
        <v>19.223520056309106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AnTka7EgbASwqLSnPt5vwQmxkV5KSFOZBwQkrXKRYBQeYR3ODo9FMNDCmhLrgCwW3aNNPQygbGzCBSJrB/lQDw==" saltValue="qMqzKzYZHuLlDi5dAey+p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yvF/s2w1SrMzrKnksSiOXDwVANA3ht4jQgMt+Upu0CChojHMezDHvjEr+KEzM4+CdmQBt0+zNzdpVwRGt7KF7w==" saltValue="pm6BAmMELxEMNOPLO/15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42sSTjveepDN0CUAZNvFXAAQ4dRbu1oPYqSq/wypYkO1gklhk33U7YZTNSo/R5VwE/BbJQe8kVTAMAFpuvX2g==" saltValue="4+bcR2aSc0Zo0WsjuWMyb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VALDEMORO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0.1543728976453628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0.10915812275645284</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MYEoOqUsE3Xe0qouQWVRAY2x8HnfZ+WLC0RcOQWCQIAmGyOr9k4AJGegVzbKKonN1Q8WPcsi3slXKaHYRZmuxA==" saltValue="JC3h6FCzA2cKL9gDqMpMj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n/sUFV8dSRKDgBf7S5IOO8bpTYq44/6idS6NsDNB67sDTmfIZn3ozLd5MT0PWlNfETsT2Poc+U6q3DoWGfTkeQ==" saltValue="f5gTdKYYQnxdtF5nrS3c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VALDEMORO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126</v>
      </c>
      <c r="D10" s="407">
        <f>IF(ISNUMBER(C10/Datos!BH10),C10/Datos!BH10," - ")</f>
        <v>126</v>
      </c>
      <c r="E10" s="406">
        <f>IF(ISNUMBER(Datos!J10),Datos!J10," - ")</f>
        <v>42</v>
      </c>
      <c r="F10" s="407">
        <f>IF(ISNUMBER(E10/B10),E10/B10," - ")</f>
        <v>42</v>
      </c>
      <c r="G10" s="406">
        <f>IF(ISNUMBER(Datos!K10),Datos!K10," - ")</f>
        <v>29</v>
      </c>
      <c r="H10" s="407">
        <f>IF(ISNUMBER(G10/B10),G10/B10," - ")</f>
        <v>29</v>
      </c>
      <c r="I10" s="406">
        <f>IF(ISNUMBER(Datos!L10),Datos!L10," - ")</f>
        <v>139</v>
      </c>
      <c r="J10" s="407">
        <f>IF(ISNUMBER(I10/B10),I10/B10," - ")</f>
        <v>139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8</v>
      </c>
      <c r="C12" s="406">
        <f>IF(ISNUMBER(IF(J_V="SI",Datos!I12,Datos!I12+Datos!Y12)),IF(J_V="SI",Datos!I12,Datos!I12+Datos!Y12)," - ")</f>
        <v>6249</v>
      </c>
      <c r="D12" s="407">
        <f>IF(ISNUMBER(C12/Datos!BH12),C12/Datos!BH12," - ")</f>
        <v>781.125</v>
      </c>
      <c r="E12" s="406">
        <f>IF(ISNUMBER(IF(J_V="SI",Datos!J12,Datos!J12+Datos!Z12)),IF(J_V="SI",Datos!J12,Datos!J12+Datos!Z12)," - ")</f>
        <v>9161</v>
      </c>
      <c r="F12" s="407">
        <f>IF(ISNUMBER(E12/B12),E12/B12," - ")</f>
        <v>1145.125</v>
      </c>
      <c r="G12" s="406">
        <f>IF(ISNUMBER(IF(J_V="SI",Datos!K12,Datos!K12+Datos!AA12)),IF(J_V="SI",Datos!K12,Datos!K12+Datos!AA12)," - ")</f>
        <v>8295</v>
      </c>
      <c r="H12" s="407">
        <f>IF(ISNUMBER(G12/B12),G12/B12," - ")</f>
        <v>1036.875</v>
      </c>
      <c r="I12" s="406">
        <f>IF(ISNUMBER(IF(J_V="SI",Datos!L12,Datos!L12+Datos!AB12)),IF(J_V="SI",Datos!L12,Datos!L12+Datos!AB12)," - ")</f>
        <v>8100</v>
      </c>
      <c r="J12" s="407">
        <f>IF(ISNUMBER(I12/B12),I12/B12," - ")</f>
        <v>1012.5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6375</v>
      </c>
      <c r="D13" s="853" t="str">
        <f>IF(ISNUMBER(C13/Datos!BI13),C13/Datos!BI13," - ")</f>
        <v xml:space="preserve"> - </v>
      </c>
      <c r="E13" s="852">
        <f>SUBTOTAL(9,E8:E12)</f>
        <v>9203</v>
      </c>
      <c r="F13" s="853">
        <f>IF(ISNUMBER(E13/B13),E13/B13," - ")</f>
        <v>1150.375</v>
      </c>
      <c r="G13" s="852">
        <f>SUBTOTAL(9,G8:G12)</f>
        <v>8324</v>
      </c>
      <c r="H13" s="853">
        <f>IF(ISNUMBER(G13/B13),G13/B13," - ")</f>
        <v>1040.5</v>
      </c>
      <c r="I13" s="852">
        <f>SUBTOTAL(9,I8:I12)</f>
        <v>8239</v>
      </c>
      <c r="J13" s="853">
        <f>IF(ISNUMBER(I13/B13),I13/B13," - ")</f>
        <v>1029.875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8</v>
      </c>
      <c r="C16" s="406">
        <f>IF(ISNUMBER(IF(D_I="SI",Datos!I16,Datos!I16+Datos!AC16)),IF(D_I="SI",Datos!I16,Datos!I16+Datos!AC16)," - ")</f>
        <v>1583</v>
      </c>
      <c r="D16" s="407">
        <f>IF(ISNUMBER(C16/Datos!BH16),C16/Datos!BH16," - ")</f>
        <v>197.875</v>
      </c>
      <c r="E16" s="406">
        <f>IF(ISNUMBER(IF(D_I="SI",Datos!J16,Datos!J16+Datos!AD16)),IF(D_I="SI",Datos!J16,Datos!J16+Datos!AD16)," - ")</f>
        <v>6901</v>
      </c>
      <c r="F16" s="407">
        <f>IF(ISNUMBER(E16/B16),E16/B16," - ")</f>
        <v>862.625</v>
      </c>
      <c r="G16" s="406">
        <f>IF(ISNUMBER(IF(D_I="SI",Datos!K16,Datos!K16+Datos!AE16)),IF(D_I="SI",Datos!K16,Datos!K16+Datos!AE16)," - ")</f>
        <v>7049</v>
      </c>
      <c r="H16" s="407">
        <f>IF(ISNUMBER(G16/B16),G16/B16," - ")</f>
        <v>881.125</v>
      </c>
      <c r="I16" s="406">
        <f>IF(ISNUMBER(IF(D_I="SI",Datos!L16,Datos!L16+Datos!AF16)),IF(D_I="SI",Datos!L16,Datos!L16+Datos!AF16)," - ")</f>
        <v>1629</v>
      </c>
      <c r="J16" s="407">
        <f>IF(ISNUMBER(I16/B16),I16/B16," - ")</f>
        <v>203.625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229</v>
      </c>
      <c r="D17" s="407">
        <f>IF(ISNUMBER(C17/Datos!BH17),C17/Datos!BH17," - ")</f>
        <v>229</v>
      </c>
      <c r="E17" s="406">
        <f>IF(ISNUMBER(IF(D_I="SI",Datos!J17,Datos!J17+Datos!AD17)),IF(D_I="SI",Datos!J17,Datos!J17+Datos!AD17)," - ")</f>
        <v>440</v>
      </c>
      <c r="F17" s="407">
        <f>IF(ISNUMBER(E17/B17),E17/B17," - ")</f>
        <v>440</v>
      </c>
      <c r="G17" s="406">
        <f>IF(ISNUMBER(IF(D_I="SI",Datos!K17,Datos!K17+Datos!AE17)),IF(D_I="SI",Datos!K17,Datos!K17+Datos!AE17)," - ")</f>
        <v>446</v>
      </c>
      <c r="H17" s="407">
        <f>IF(ISNUMBER(G17/B17),G17/B17," - ")</f>
        <v>446</v>
      </c>
      <c r="I17" s="406">
        <f>IF(ISNUMBER(IF(D_I="SI",Datos!L17,Datos!L17+Datos!AF17)),IF(D_I="SI",Datos!L17,Datos!L17+Datos!AF17)," - ")</f>
        <v>229</v>
      </c>
      <c r="J17" s="407">
        <f>IF(ISNUMBER(I17/B17),I17/B17," - ")</f>
        <v>229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8</v>
      </c>
      <c r="C18" s="852">
        <f>SUBTOTAL(9,C14:C17)</f>
        <v>1812</v>
      </c>
      <c r="D18" s="853" t="str">
        <f>IF(ISNUMBER(C18/Datos!BI18),C18/Datos!BI18," - ")</f>
        <v xml:space="preserve"> - </v>
      </c>
      <c r="E18" s="852">
        <f>SUBTOTAL(9,E14:E17)</f>
        <v>7341</v>
      </c>
      <c r="F18" s="853">
        <f>IF(ISNUMBER(E18/B18),E18/B18," - ")</f>
        <v>917.625</v>
      </c>
      <c r="G18" s="852">
        <f>SUBTOTAL(9,G14:G17)</f>
        <v>7495</v>
      </c>
      <c r="H18" s="853">
        <f>IF(ISNUMBER(G18/B18),G18/B18," - ")</f>
        <v>936.875</v>
      </c>
      <c r="I18" s="852">
        <f>SUBTOTAL(9,I14:I17)</f>
        <v>1858</v>
      </c>
      <c r="J18" s="853">
        <f>IF(ISNUMBER(I18/B18),I18/B18," - ")</f>
        <v>232.25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8187</v>
      </c>
      <c r="D19" s="798" t="str">
        <f>IF(ISNUMBER(C19/Datos!BI19),C19/Datos!BI19," - ")</f>
        <v xml:space="preserve"> - </v>
      </c>
      <c r="E19" s="797">
        <f>SUBTOTAL(9,E9:E18)</f>
        <v>16544</v>
      </c>
      <c r="F19" s="798">
        <f>IF(ISNUMBER(E19/B19),E19/B19," - ")</f>
        <v>2068</v>
      </c>
      <c r="G19" s="797">
        <f>SUBTOTAL(9,G9:G18)</f>
        <v>15819</v>
      </c>
      <c r="H19" s="798">
        <f>IF(ISNUMBER(G19/B19),G19/B19," - ")</f>
        <v>1977.375</v>
      </c>
      <c r="I19" s="797">
        <f>SUBTOTAL(9,I9:I18)</f>
        <v>10097</v>
      </c>
      <c r="J19" s="798">
        <f>IF(ISNUMBER(I19/B19),I19/B19," - ")</f>
        <v>1262.125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OmuvvlHzX7hGjzjZ1w0DjHUsoL/f0eBXudJXWMiET/yGq4lZ/+srnDF9THPf0ZjLg9Q2UOR6+NrClBvtsrVZsA==" saltValue="aWTbNMz1iYBWCPmB6nID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VALDEMORO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126</v>
      </c>
      <c r="G10" s="687">
        <f>IF(ISNUMBER(Datos!I10),Datos!I10," - ")</f>
        <v>126</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16</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29</v>
      </c>
      <c r="AC10" s="686" t="str">
        <f>IF(ISNUMBER(IF(D_I="SI",DatosP!K17,DatosP!K17+DatosP!AE17)),IF(D_I="SI",DatosP!K17,DatosP!K17+DatosP!AE17)," - ")</f>
        <v xml:space="preserve"> - </v>
      </c>
      <c r="AD10" s="688"/>
      <c r="AE10" s="688"/>
      <c r="AF10" s="691">
        <f>IF(ISNUMBER(Datos!L10),Datos!L10,"-")</f>
        <v>139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10</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52.724137931034484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8</v>
      </c>
      <c r="B12" s="510" t="s">
        <v>246</v>
      </c>
      <c r="C12" s="7" t="str">
        <f>Datos!A12</f>
        <v xml:space="preserve">Jdos. 1ª Instª. e Instr.                        </v>
      </c>
      <c r="D12" s="511"/>
      <c r="E12" s="685">
        <f>IF(ISNUMBER(Datos!AQ12),Datos!AQ12," - ")</f>
        <v>8</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1718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1436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8968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1275</v>
      </c>
      <c r="AM12" s="693">
        <f>IF(ISNUMBER(Datos!N12+DatosP!N16),Datos!N12+DatosP!N16," - ")</f>
        <v>4461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10.741410488245931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3.2466037301404557E-2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126</v>
      </c>
      <c r="G13" s="941">
        <f t="shared" si="0"/>
        <v>126</v>
      </c>
      <c r="H13" s="941">
        <f t="shared" si="0"/>
        <v>0</v>
      </c>
      <c r="I13" s="943">
        <f t="shared" si="0"/>
        <v>0</v>
      </c>
      <c r="J13" s="942">
        <f t="shared" si="0"/>
        <v>0</v>
      </c>
      <c r="K13" s="942">
        <f t="shared" si="0"/>
        <v>0</v>
      </c>
      <c r="L13" s="944">
        <f t="shared" si="0"/>
        <v>0</v>
      </c>
      <c r="M13" s="944">
        <f t="shared" si="0"/>
        <v>0</v>
      </c>
      <c r="N13" s="942">
        <f t="shared" si="0"/>
        <v>1734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29</v>
      </c>
      <c r="AC13" s="942">
        <f t="shared" si="1"/>
        <v>0</v>
      </c>
      <c r="AD13" s="942">
        <f t="shared" si="1"/>
        <v>1436</v>
      </c>
      <c r="AE13" s="942">
        <f t="shared" si="1"/>
        <v>0</v>
      </c>
      <c r="AF13" s="942">
        <f t="shared" si="1"/>
        <v>139</v>
      </c>
      <c r="AG13" s="942">
        <f t="shared" si="1"/>
        <v>0</v>
      </c>
      <c r="AH13" s="942">
        <f t="shared" si="1"/>
        <v>8968</v>
      </c>
      <c r="AI13" s="942">
        <f t="shared" si="1"/>
        <v>0</v>
      </c>
      <c r="AJ13" s="942">
        <f t="shared" si="1"/>
        <v>0</v>
      </c>
      <c r="AK13" s="942">
        <f t="shared" si="1"/>
        <v>0</v>
      </c>
      <c r="AL13" s="942">
        <f t="shared" si="1"/>
        <v>1285</v>
      </c>
      <c r="AM13" s="942">
        <f t="shared" si="1"/>
        <v>4462</v>
      </c>
      <c r="AN13" s="942">
        <f t="shared" si="1"/>
        <v>0</v>
      </c>
      <c r="AO13" s="942">
        <f t="shared" si="1"/>
        <v>0</v>
      </c>
      <c r="AP13" s="947">
        <f>IF(ISNUMBER(((Datos!L13/Datos!K13)*11)/factor_trimestre),((Datos!L13/Datos!K13)*11)/factor_trimestre," - ")</f>
        <v>12.135581555402615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-0.23015873015873015</v>
      </c>
      <c r="AU13" s="942" t="str">
        <f>IF(ISNUMBER((DatosP!#REF!-DatosP!#REF!+DatosP!#REF!)/(DatosP!#REF!+DatosP!#REF!-DatosP!#REF!-DatosP!#REF!)),(DatosP!#REF!-DatosP!#REF!+DatosP!#REF!)/(DatosP!#REF!+DatosP!#REF!-DatosP!#REF!-DatosP!#REF!)," - ")</f>
        <v xml:space="preserve"> - </v>
      </c>
      <c r="AV13" s="948">
        <f>SUBTOTAL(9,AV9:AV12)</f>
        <v>3.2466037301404557E-2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8</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2.7268845897264842</v>
      </c>
      <c r="AQ18" s="947">
        <f>IF(ISNUMBER(((Datos!M18/Datos!L18)*11)/factor_trimestre),((Datos!M18/Datos!L18)*11)/factor_trimestre," - ")</f>
        <v>4.0258342303552208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7.4349442379182153E-3</v>
      </c>
      <c r="AW18" s="949">
        <f>IF(ISNUMBER((Datos!Q18-Datos!R18)/(Datos!S18-Datos!Q18+Datos!R18)),(Datos!Q18-Datos!R18)/(Datos!S18-Datos!Q18+Datos!R18)," - ")</f>
        <v>-1.1134307585247043E-2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126</v>
      </c>
      <c r="G19" s="954">
        <f t="shared" si="4"/>
        <v>126</v>
      </c>
      <c r="H19" s="954">
        <f t="shared" si="4"/>
        <v>0</v>
      </c>
      <c r="I19" s="955">
        <f t="shared" si="4"/>
        <v>0</v>
      </c>
      <c r="J19" s="956">
        <f t="shared" si="4"/>
        <v>0</v>
      </c>
      <c r="K19" s="956">
        <f t="shared" si="4"/>
        <v>0</v>
      </c>
      <c r="L19" s="956">
        <f t="shared" si="4"/>
        <v>0</v>
      </c>
      <c r="M19" s="956">
        <f t="shared" si="4"/>
        <v>0</v>
      </c>
      <c r="N19" s="955">
        <f t="shared" si="4"/>
        <v>1734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29</v>
      </c>
      <c r="AC19" s="960">
        <f t="shared" si="5"/>
        <v>0</v>
      </c>
      <c r="AD19" s="960">
        <f t="shared" si="5"/>
        <v>1436</v>
      </c>
      <c r="AE19" s="960">
        <f t="shared" si="5"/>
        <v>0</v>
      </c>
      <c r="AF19" s="961">
        <f t="shared" si="5"/>
        <v>139</v>
      </c>
      <c r="AG19" s="961">
        <f t="shared" si="5"/>
        <v>0</v>
      </c>
      <c r="AH19" s="961">
        <f t="shared" si="5"/>
        <v>8968</v>
      </c>
      <c r="AI19" s="961">
        <f t="shared" si="5"/>
        <v>0</v>
      </c>
      <c r="AJ19" s="962">
        <f t="shared" si="5"/>
        <v>0</v>
      </c>
      <c r="AK19" s="962">
        <f t="shared" si="5"/>
        <v>0</v>
      </c>
      <c r="AL19" s="954">
        <f t="shared" si="5"/>
        <v>1285</v>
      </c>
      <c r="AM19" s="954">
        <f t="shared" si="5"/>
        <v>4462</v>
      </c>
      <c r="AN19" s="954">
        <f t="shared" si="5"/>
        <v>0</v>
      </c>
      <c r="AO19" s="954">
        <f t="shared" si="5"/>
        <v>0</v>
      </c>
      <c r="AP19" s="954">
        <f>IF(ISNUMBER(((Datos!L19/Datos!K19)*11)/factor_trimestre),((Datos!L19/Datos!K19)*11)/factor_trimestre," - ")</f>
        <v>7.3579268292682931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-0.23015873015873015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3.251220594762539E-2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4.1311822359545785</v>
      </c>
      <c r="F21" s="739">
        <f>IF(ISNUMBER(STDEV(F8:F18)),STDEV(F8:F18),"-")</f>
        <v>72.746133917892848</v>
      </c>
      <c r="G21" s="740">
        <f>IF(ISNUMBER(STDEV(G8:G18)),STDEV(G8:G18),"-")</f>
        <v>72.746133917892848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16.743157806499148</v>
      </c>
      <c r="AC21" s="741">
        <f>IF(ISNUMBER(STDEV(AC8:AC18)),STDEV(AC8:AC18),"-")</f>
        <v>0</v>
      </c>
      <c r="AD21" s="744"/>
      <c r="AE21" s="744"/>
      <c r="AF21" s="744"/>
      <c r="AG21" s="744"/>
      <c r="AH21" s="744"/>
      <c r="AI21" s="744"/>
      <c r="AJ21" s="745">
        <f>IF(ISNUMBER(STDEV(AJ8:AJ18)),STDEV(AJ8:AJ18),"-")</f>
        <v>0</v>
      </c>
      <c r="AK21" s="747"/>
      <c r="AL21" s="739">
        <f>IF(ISNUMBER(STDEV(AL8:AL18)),STDEV(AL8:AL18),"-")</f>
        <v>736.14423405561854</v>
      </c>
      <c r="AM21" s="739"/>
      <c r="AN21" s="739">
        <f>IF(ISNUMBER(STDEV(AN8:AN18)),STDEV(AN8:AN18),"-")</f>
        <v>0</v>
      </c>
      <c r="AO21" s="745">
        <f>IF(ISNUMBER(STDEV(AO8:AO18)),STDEV(AO8:AO18),"-")</f>
        <v>0</v>
      </c>
      <c r="AP21" s="782">
        <f>IF(ISNUMBER(STDEV(AP8:AP18)),STDEV(AP8:AP18),"-")</f>
        <v>22.480372125483729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SBDb4g7tblkxdkNFb1EWvv4S00w8vYFY+qQG++sYDXolwYCdPihCjy7qr+6lH6m2GjlAYu93wCfrkBbE7sA/Xw==" saltValue="ObPaxTRZOEGtb6J5FODUO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218</v>
      </c>
      <c r="B3" s="394" t="str">
        <f>Criterios!A10 &amp;"  "&amp;Criterios!B10</f>
        <v>Provincias  MADRID</v>
      </c>
      <c r="C3" s="418"/>
      <c r="F3" s="378"/>
      <c r="G3" s="378"/>
      <c r="H3" s="378"/>
    </row>
    <row r="4" spans="1:15" ht="13.5" thickBot="1">
      <c r="A4" s="378"/>
      <c r="B4" s="394" t="str">
        <f>Criterios!A11 &amp;"  "&amp;Criterios!B11</f>
        <v>Resumenes por Partidos Judiciales  VALDEMORO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8</v>
      </c>
      <c r="D12" s="406">
        <f>Datos!BK12</f>
        <v>0</v>
      </c>
      <c r="E12" s="406">
        <f>Datos!AQ12</f>
        <v>8</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8</v>
      </c>
      <c r="D16" s="406">
        <f>Datos!BK16</f>
        <v>0</v>
      </c>
      <c r="E16" s="406">
        <f>Datos!AQ16</f>
        <v>8</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lbjL0K9P5rSDJudaQ5RYxCjlsHg427a/VU2k4AZLKqhvoHoez/rgsnReTgCjg76ZRRsB+wPxRhbaY0GjzRWtlw==" saltValue="jVuBrZwu3wsONf4Lrs84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VALDEMORO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10</v>
      </c>
      <c r="E10" s="407">
        <f>IF(ISNUMBER(D10/B10),D10/B10," - ")</f>
        <v>10</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8</v>
      </c>
      <c r="C12" s="413">
        <f>Datos!AQ12</f>
        <v>8</v>
      </c>
      <c r="D12" s="406">
        <f>IF(ISNUMBER(Datos!M12),Datos!M12," - ")</f>
        <v>1275</v>
      </c>
      <c r="E12" s="407">
        <f t="shared" si="0"/>
        <v>159.375</v>
      </c>
      <c r="F12" s="406">
        <f>IF(ISNUMBER(Datos!N12),Datos!N12," - ")</f>
        <v>4461</v>
      </c>
      <c r="G12" s="407">
        <f t="shared" si="1"/>
        <v>557.625</v>
      </c>
      <c r="H12" s="406">
        <f>IF(ISNUMBER(Datos!O12),Datos!O12," - ")</f>
        <v>2346</v>
      </c>
      <c r="I12" s="407">
        <f t="shared" si="2"/>
        <v>293.25</v>
      </c>
    </row>
    <row r="13" spans="1:9" ht="14.25" thickTop="1" thickBot="1">
      <c r="A13" s="851" t="str">
        <f>Datos!A13</f>
        <v>TOTAL</v>
      </c>
      <c r="B13" s="852">
        <f>Datos!AO13</f>
        <v>9</v>
      </c>
      <c r="C13" s="854">
        <f>Datos!AR13</f>
        <v>8</v>
      </c>
      <c r="D13" s="852">
        <f>SUBTOTAL(9,D9:D12)</f>
        <v>1285</v>
      </c>
      <c r="E13" s="853">
        <f t="shared" si="0"/>
        <v>142.77777777777777</v>
      </c>
      <c r="F13" s="852">
        <f>SUBTOTAL(9,F9:F12)</f>
        <v>4462</v>
      </c>
      <c r="G13" s="853">
        <f t="shared" si="1"/>
        <v>495.77777777777777</v>
      </c>
      <c r="H13" s="852">
        <f>SUBTOTAL(9,H9:H12)</f>
        <v>2346</v>
      </c>
      <c r="I13" s="853">
        <f>IF(ISNUMBER(H13/B13),H13/B13," - ")</f>
        <v>260.66666666666669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8</v>
      </c>
      <c r="C16" s="431">
        <f>Datos!AQ16</f>
        <v>8</v>
      </c>
      <c r="D16" s="406">
        <f>IF(ISNUMBER(Datos!M16),Datos!M16," - ")</f>
        <v>630</v>
      </c>
      <c r="E16" s="407">
        <f t="shared" si="3"/>
        <v>78.75</v>
      </c>
      <c r="F16" s="406">
        <f>IF(ISNUMBER(Datos!N16),Datos!N16," - ")</f>
        <v>4753</v>
      </c>
      <c r="G16" s="407">
        <f t="shared" si="4"/>
        <v>594.125</v>
      </c>
      <c r="H16" s="406">
        <f>IF(ISNUMBER(Datos!O16),Datos!O16," - ")</f>
        <v>7</v>
      </c>
      <c r="I16" s="407">
        <f t="shared" si="5"/>
        <v>0.875</v>
      </c>
    </row>
    <row r="17" spans="1:9" ht="13.5" thickBot="1">
      <c r="A17" s="405" t="str">
        <f>Datos!A17</f>
        <v>Jdos. Violencia contra la mujer</v>
      </c>
      <c r="B17" s="430">
        <f>Datos!AO17</f>
        <v>1</v>
      </c>
      <c r="C17" s="431">
        <f>Datos!AQ17</f>
        <v>0</v>
      </c>
      <c r="D17" s="406">
        <f>IF(ISNUMBER(Datos!M17),Datos!M17," - ")</f>
        <v>50</v>
      </c>
      <c r="E17" s="407">
        <f>IF(ISNUMBER(D17/B17),D17/B17," - ")</f>
        <v>50</v>
      </c>
      <c r="F17" s="406">
        <f>IF(ISNUMBER(Datos!N17),Datos!N17," - ")</f>
        <v>251</v>
      </c>
      <c r="G17" s="407">
        <f>IF(ISNUMBER(F17/B17),F17/B17," - ")</f>
        <v>251</v>
      </c>
      <c r="H17" s="406">
        <f>IF(ISNUMBER(Datos!O17),Datos!O17," - ")</f>
        <v>0</v>
      </c>
      <c r="I17" s="407">
        <f t="shared" si="5"/>
        <v>0</v>
      </c>
    </row>
    <row r="18" spans="1:9" ht="14.25" thickTop="1" thickBot="1">
      <c r="A18" s="851" t="str">
        <f>Datos!A18</f>
        <v>TOTAL</v>
      </c>
      <c r="B18" s="852">
        <f>Datos!AO18</f>
        <v>9</v>
      </c>
      <c r="C18" s="854">
        <f>Datos!AR18</f>
        <v>8</v>
      </c>
      <c r="D18" s="852">
        <f>SUBTOTAL(9,D15:D17)</f>
        <v>680</v>
      </c>
      <c r="E18" s="853">
        <f t="shared" si="3"/>
        <v>75.555555555555557</v>
      </c>
      <c r="F18" s="852">
        <f>SUBTOTAL(9,F15:F17)</f>
        <v>5004</v>
      </c>
      <c r="G18" s="853">
        <f t="shared" si="4"/>
        <v>556</v>
      </c>
      <c r="H18" s="852">
        <f>SUBTOTAL(9,H15:H17)</f>
        <v>7</v>
      </c>
      <c r="I18" s="853">
        <f>IF(ISNUMBER(H18/B18),H18/B18," - ")</f>
        <v>0.77777777777777779</v>
      </c>
    </row>
    <row r="19" spans="1:9" ht="14.25" thickTop="1" thickBot="1">
      <c r="A19" s="796" t="str">
        <f>Datos!A19</f>
        <v>TOTAL JURISDICCIONES</v>
      </c>
      <c r="B19" s="797">
        <f>Datos!AP19</f>
        <v>8</v>
      </c>
      <c r="C19" s="797">
        <f>Datos!AR19</f>
        <v>8</v>
      </c>
      <c r="D19" s="797">
        <f>SUBTOTAL(9,D8:D18)</f>
        <v>1965</v>
      </c>
      <c r="E19" s="798">
        <f>IF(ISNUMBER(D19/B19),D19/B19," - ")</f>
        <v>245.625</v>
      </c>
      <c r="F19" s="797">
        <f>SUBTOTAL(9,F8:F18)</f>
        <v>9466</v>
      </c>
      <c r="G19" s="798">
        <f>IF(ISNUMBER(F19/B19),F19/B19," - ")</f>
        <v>1183.25</v>
      </c>
      <c r="H19" s="797">
        <f>SUBTOTAL(9,H8:H18)</f>
        <v>2353</v>
      </c>
      <c r="I19" s="798">
        <f>IF(ISNUMBER(H19/B19),H19/B19," - ")</f>
        <v>294.125</v>
      </c>
    </row>
    <row r="22" spans="1:9">
      <c r="A22" s="394" t="str">
        <f>Criterios!A4</f>
        <v>Fecha Informe: 03 may. 2024</v>
      </c>
    </row>
    <row r="27" spans="1:9">
      <c r="A27" s="417"/>
    </row>
  </sheetData>
  <sheetProtection algorithmName="SHA-512" hashValue="d1piW7PcM+i1AeTcACRy5mXXfp9vZe5i4aPBSL3vdjaPLxT/QBHlDY2yd/a/tkdjRsD/bqiC7x2E8h7pi3B4Yw==" saltValue="xJdNjRdp/wQ1Re6c0+hm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VALDEMORO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16</v>
      </c>
      <c r="C10" s="437">
        <f>IF(ISNUMBER(Datos!Q10),Datos!Q10," - ")</f>
        <v>7</v>
      </c>
      <c r="D10" s="411">
        <f>IF(ISNUMBER(Datos!R10),Datos!R10," - ")</f>
        <v>66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1718</v>
      </c>
      <c r="C12" s="437">
        <f>IF(ISNUMBER(Datos!Q12),Datos!Q12," - ")</f>
        <v>1436</v>
      </c>
      <c r="D12" s="411">
        <f>IF(ISNUMBER(Datos!R12),Datos!R12," - ")</f>
        <v>8968</v>
      </c>
    </row>
    <row r="13" spans="1:4" ht="14.25" thickTop="1" thickBot="1">
      <c r="A13" s="851" t="str">
        <f>Datos!A13</f>
        <v>TOTAL</v>
      </c>
      <c r="B13" s="852">
        <f>SUBTOTAL(9,B9:B12)</f>
        <v>1734</v>
      </c>
      <c r="C13" s="856">
        <f>SUBTOTAL(9,C9:C12)</f>
        <v>1443</v>
      </c>
      <c r="D13" s="854">
        <f>SUBTOTAL(9,D9:D12)</f>
        <v>9034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253</v>
      </c>
      <c r="C16" s="437">
        <f>IF(ISNUMBER(Datos!Q16),Datos!Q16," - ")</f>
        <v>254</v>
      </c>
      <c r="D16" s="411">
        <f>IF(ISNUMBER(Datos!R16),Datos!R16," - ")</f>
        <v>255</v>
      </c>
    </row>
    <row r="17" spans="1:4" ht="13.5" thickBot="1">
      <c r="A17" s="405" t="str">
        <f>Datos!A17</f>
        <v>Jdos. Violencia contra la mujer</v>
      </c>
      <c r="B17" s="436">
        <f>IF(ISNUMBER(Datos!P17),Datos!P17," - ")</f>
        <v>4</v>
      </c>
      <c r="C17" s="437">
        <f>IF(ISNUMBER(Datos!Q17),Datos!Q17," - ")</f>
        <v>1</v>
      </c>
      <c r="D17" s="411">
        <f>IF(ISNUMBER(Datos!R17),Datos!R17," - ")</f>
        <v>16</v>
      </c>
    </row>
    <row r="18" spans="1:4" ht="14.25" thickTop="1" thickBot="1">
      <c r="A18" s="851" t="str">
        <f>Datos!A18</f>
        <v>TOTAL</v>
      </c>
      <c r="B18" s="852">
        <f>SUBTOTAL(9,B15:B17)</f>
        <v>257</v>
      </c>
      <c r="C18" s="856">
        <f>SUBTOTAL(9,C15:C17)</f>
        <v>255</v>
      </c>
      <c r="D18" s="854">
        <f>SUBTOTAL(9,D15:D17)</f>
        <v>271</v>
      </c>
    </row>
    <row r="19" spans="1:4" ht="16.5" customHeight="1" thickTop="1" thickBot="1">
      <c r="A19" s="796" t="str">
        <f>Datos!A19</f>
        <v>TOTAL JURISDICCIONES</v>
      </c>
      <c r="B19" s="801">
        <f>SUBTOTAL(9,B8:B18)</f>
        <v>1991</v>
      </c>
      <c r="C19" s="802">
        <f>SUBTOTAL(9,C8:C18)</f>
        <v>1698</v>
      </c>
      <c r="D19" s="803">
        <f>SUBTOTAL(9,D8:D18)</f>
        <v>9305</v>
      </c>
    </row>
    <row r="20" spans="1:4" ht="7.5" customHeight="1"/>
    <row r="21" spans="1:4" ht="6" customHeight="1"/>
    <row r="22" spans="1:4">
      <c r="A22" s="394" t="str">
        <f>Criterios!A4</f>
        <v>Fecha Informe: 03 may. 2024</v>
      </c>
    </row>
    <row r="27" spans="1:4">
      <c r="A27" s="417"/>
    </row>
  </sheetData>
  <sheetProtection algorithmName="SHA-512" hashValue="gzACe+ZHeSA9GrrRUmFlmOyZyQwLFttFuXphLSP9nxjKQvspP5VyX8O1a+9MHqBmKKKpCEx9PtkOmRPbscUeog==" saltValue="8UuG5922mcvJ8fZ6lUPd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VALDEMORO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0.43181818181818182</v>
      </c>
      <c r="C10" s="459">
        <f>IF(ISNUMBER((Datos!J10-Datos!T10)/Datos!T10),(Datos!J10-Datos!T10)/Datos!T10," - ")</f>
        <v>-0.50588235294117645</v>
      </c>
      <c r="D10" s="459">
        <f>IF(ISNUMBER((Datos!K10-Datos!U10)/Datos!U10),(Datos!K10-Datos!U10)/Datos!U10," - ")</f>
        <v>-0.38297872340425532</v>
      </c>
      <c r="E10" s="459">
        <f>IF(ISNUMBER((Datos!L10-Datos!V10)/Datos!V10),(Datos!L10-Datos!V10)/Datos!V10," - ")</f>
        <v>0.10317460317460317</v>
      </c>
      <c r="F10" s="459">
        <f>IF(ISNUMBER((Datos!M10-Datos!W10)/Datos!W10),(Datos!M10-Datos!W10)/Datos!W10," - ")</f>
        <v>-0.72222222222222221</v>
      </c>
      <c r="G10" s="460">
        <f>IF(ISNUMBER((Datos!N10-Datos!X10)/Datos!X10),(Datos!N10-Datos!X10)/Datos!X10," - ")</f>
        <v>-0.8</v>
      </c>
      <c r="H10" s="458">
        <f>IF(ISNUMBER(((NºAsuntos!G10/NºAsuntos!E10)-Datos!BD10)/Datos!BD10),((NºAsuntos!G10/NºAsuntos!E10)-Datos!BD10)/Datos!BD10," - ")</f>
        <v>0.24873353596757841</v>
      </c>
      <c r="I10" s="459">
        <f>IF(ISNUMBER(((NºAsuntos!I10/NºAsuntos!G10)-Datos!BE10)/Datos!BE10),((NºAsuntos!I10/NºAsuntos!G10)-Datos!BE10)/Datos!BE10," - ")</f>
        <v>0.78790366721401195</v>
      </c>
      <c r="J10" s="464">
        <f>IF(ISNUMBER((('Resol  Asuntos'!D10/NºAsuntos!G10)-Datos!BF10)/Datos!BF10),(('Resol  Asuntos'!D10/NºAsuntos!G10)-Datos!BF10)/Datos!BF10," - ")</f>
        <v>-0.54980842911877392</v>
      </c>
      <c r="K10" s="465">
        <f>IF(ISNUMBER((((NºAsuntos!C10+NºAsuntos!E10)/NºAsuntos!G10)-Datos!BG10)/Datos!BG10),(((NºAsuntos!C10+NºAsuntos!E10)/NºAsuntos!G10)-Datos!BG10)/Datos!BG10," - ")</f>
        <v>0.57384891369344226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7.9032258064516137E-3</v>
      </c>
      <c r="C12" s="459">
        <f>IF(ISNUMBER(
   IF(J_V="SI",(Datos!J12-Datos!T12)/Datos!T12,(Datos!J12+Datos!Z12-(Datos!T12+Datos!AH12))/(Datos!T12+Datos!AH12))
     ),IF(J_V="SI",(Datos!J12-Datos!T12)/Datos!T12,(Datos!J12+Datos!Z12-(Datos!T12+Datos!AH12))/(Datos!T12+Datos!AH12))," - ")</f>
        <v>0.13772975658221559</v>
      </c>
      <c r="D12" s="459">
        <f>IF(ISNUMBER(
   IF(J_V="SI",(Datos!K12-Datos!U12)/Datos!U12,(Datos!K12+Datos!AA12-(Datos!U12+Datos!AI12))/(Datos!U12+Datos!AI12))
     ),IF(J_V="SI",(Datos!K12-Datos!U12)/Datos!U12,(Datos!K12+Datos!AA12-(Datos!U12+Datos!AI12))/(Datos!U12+Datos!AI12))," - ")</f>
        <v>4.8805158679984827E-2</v>
      </c>
      <c r="E12" s="459">
        <f>IF(ISNUMBER(
   IF(J_V="SI",(Datos!L12-Datos!V12)/Datos!V12,(Datos!L12+Datos!AB12-(Datos!V12+Datos!AJ12))/(Datos!V12+Datos!AJ12))
     ),IF(J_V="SI",(Datos!L12-Datos!V12)/Datos!V12,(Datos!L12+Datos!AB12-(Datos!V12+Datos!AJ12))/(Datos!V12+Datos!AJ12))," - ")</f>
        <v>0.29620739318290928</v>
      </c>
      <c r="F12" s="459">
        <f>IF(ISNUMBER((Datos!M12-Datos!W12)/Datos!W12),(Datos!M12-Datos!W12)/Datos!W12," - ")</f>
        <v>1.2708498808578236E-2</v>
      </c>
      <c r="G12" s="460">
        <f>IF(ISNUMBER((Datos!N12-Datos!X12)/Datos!X12),(Datos!N12-Datos!X12)/Datos!X12," - ")</f>
        <v>6.8247126436781616E-2</v>
      </c>
      <c r="H12" s="458">
        <f>IF(ISNUMBER(((NºAsuntos!G12/NºAsuntos!E12)-Datos!BD12)/Datos!BD12),((NºAsuntos!G12/NºAsuntos!E12)-Datos!BD12)/Datos!BD12," - ")</f>
        <v>-7.8159683692693258E-2</v>
      </c>
      <c r="I12" s="459">
        <f>IF(ISNUMBER(((NºAsuntos!I12/NºAsuntos!G12)-Datos!BE12)/Datos!BE12),((NºAsuntos!I12/NºAsuntos!G12)-Datos!BE12)/Datos!BE12," - ")</f>
        <v>0.23588960490459673</v>
      </c>
      <c r="J12" s="464">
        <f>IF(ISNUMBER((('Resol  Asuntos'!D12/NºAsuntos!G12)-Datos!BF12)/Datos!BF12),(('Resol  Asuntos'!D12/NºAsuntos!G12)-Datos!BF12)/Datos!BF12," - ")</f>
        <v>-0.70889150436837045</v>
      </c>
      <c r="K12" s="465">
        <f>IF(ISNUMBER((((NºAsuntos!C12+NºAsuntos!E12)/NºAsuntos!G12)-Datos!BG12)/Datos!BG12),(((NºAsuntos!C12+NºAsuntos!E12)/NºAsuntos!G12)-Datos!BG12)/Datos!BG12," - ")</f>
        <v>3.0936723748214465E-2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1.383587786259542E-2</v>
      </c>
      <c r="C13" s="858">
        <f>IF(ISNUMBER(
   IF(J_V="SI",(Datos!J13-Datos!T13)/Datos!T13,(Datos!J13+Datos!Z13-(Datos!T13+Datos!AH13))/(Datos!T13+Datos!AH13))
     ),IF(J_V="SI",(Datos!J13-Datos!T13)/Datos!T13,(Datos!J13+Datos!Z13-(Datos!T13+Datos!AH13))/(Datos!T13+Datos!AH13))," - ")</f>
        <v>0.13100651345704806</v>
      </c>
      <c r="D13" s="858">
        <f>IF(ISNUMBER(
   IF(J_V="SI",(Datos!K13-Datos!U13)/Datos!U13,(Datos!K13+Datos!AA13-(Datos!U13+Datos!AI13))/(Datos!U13+Datos!AI13))
     ),IF(J_V="SI",(Datos!K13-Datos!U13)/Datos!U13,(Datos!K13+Datos!AA13-(Datos!U13+Datos!AI13))/(Datos!U13+Datos!AI13))," - ")</f>
        <v>4.6254399195575668E-2</v>
      </c>
      <c r="E13" s="858">
        <f>IF(ISNUMBER(
   IF(J_V="SI",(Datos!L13-Datos!V13)/Datos!V13,(Datos!L13+Datos!AB13-(Datos!V13+Datos!AJ13))/(Datos!V13+Datos!AJ13))
     ),IF(J_V="SI",(Datos!L13-Datos!V13)/Datos!V13,(Datos!L13+Datos!AB13-(Datos!V13+Datos!AJ13))/(Datos!V13+Datos!AJ13))," - ")</f>
        <v>0.29239215686274511</v>
      </c>
      <c r="F13" s="859">
        <f>IF(ISNUMBER((Datos!M13-Datos!W13)/Datos!W13),(Datos!M13-Datos!W13)/Datos!W13," - ")</f>
        <v>-7.7220077220077222E-3</v>
      </c>
      <c r="G13" s="860">
        <f>IF(ISNUMBER((Datos!N13-Datos!X13)/Datos!X13),(Datos!N13-Datos!X13)/Datos!X13," - ")</f>
        <v>6.7208801722076064E-2</v>
      </c>
      <c r="H13" s="860">
        <f>IF(ISNUMBER(((NºAsuntos!G13/NºAsuntos!E13)-Datos!BD13)/Datos!BD13),((NºAsuntos!G13/NºAsuntos!E13)-Datos!BD13)/Datos!BD13," - ")</f>
        <v>-7.4935124822949201E-2</v>
      </c>
      <c r="I13" s="860">
        <f>IF(ISNUMBER(((NºAsuntos!I13/NºAsuntos!G13)-Datos!BE13)/Datos!BE13),((NºAsuntos!I13/NºAsuntos!G13)-Datos!BE13)/Datos!BE13," - ")</f>
        <v>0.2352561268620855</v>
      </c>
      <c r="J13" s="860">
        <f>IF(ISNUMBER((('Resol  Asuntos'!D13/NºAsuntos!G13)-Datos!BF13)/Datos!BF13),(('Resol  Asuntos'!D13/NºAsuntos!G13)-Datos!BF13)/Datos!BF13," - ")</f>
        <v>-0.70840674889209254</v>
      </c>
      <c r="K13" s="860">
        <f>IF(ISNUMBER((((NºAsuntos!C13+NºAsuntos!E13)/NºAsuntos!G13)-Datos!BG13)/Datos!BG13),(((NºAsuntos!C13+NºAsuntos!E13)/NºAsuntos!G13)-Datos!BG13)/Datos!BG13," - ")</f>
        <v>3.2187464865328558E-2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0.18399401645474944</v>
      </c>
      <c r="C16" s="459">
        <f>IF(ISNUMBER(
   IF(D_I="SI",(Datos!J16-Datos!T16)/Datos!T16,(Datos!J16+Datos!AD16-(Datos!T16+Datos!AL16))/(Datos!T16+Datos!AL16))
     ),IF(D_I="SI",(Datos!J16-Datos!T16)/Datos!T16,(Datos!J16+Datos!AD16-(Datos!T16+Datos!AL16))/(Datos!T16+Datos!AL16))," - ")</f>
        <v>-3.9125591757170702E-2</v>
      </c>
      <c r="D16" s="459">
        <f>IF(ISNUMBER(
   IF(D_I="SI",(Datos!K16-Datos!U16)/Datos!U16,(Datos!K16+Datos!AE16-(Datos!U16+Datos!AM16))/(Datos!U16+Datos!AM16))
     ),IF(D_I="SI",(Datos!K16-Datos!U16)/Datos!U16,(Datos!K16+Datos!AE16-(Datos!U16+Datos!AM16))/(Datos!U16+Datos!AM16))," - ")</f>
        <v>-1.4184397163120567E-4</v>
      </c>
      <c r="E16" s="459">
        <f>IF(ISNUMBER(
   IF(D_I="SI",(Datos!L16-Datos!V16)/Datos!V16,(Datos!L16+Datos!AF16-(Datos!V16+Datos!AN16))/(Datos!V16+Datos!AN16))
     ),IF(D_I="SI",(Datos!L16-Datos!V16)/Datos!V16,(Datos!L16+Datos!AF16-(Datos!V16+Datos!AN16))/(Datos!V16+Datos!AN16))," - ")</f>
        <v>2.9058749210360075E-2</v>
      </c>
      <c r="F16" s="459">
        <f>IF(ISNUMBER((Datos!M16-Datos!W16)/Datos!W16),(Datos!M16-Datos!W16)/Datos!W16," - ")</f>
        <v>8.0000000000000002E-3</v>
      </c>
      <c r="G16" s="460">
        <f>IF(ISNUMBER((Datos!N16-Datos!X16)/Datos!X16),(Datos!N16-Datos!X16)/Datos!X16," - ")</f>
        <v>1.386518771331058E-2</v>
      </c>
      <c r="H16" s="458">
        <f>IF(ISNUMBER(((NºAsuntos!G16/NºAsuntos!E16)-Datos!BD16)/Datos!BD16),((NºAsuntos!G16/NºAsuntos!E16)-Datos!BD16)/Datos!BD16," - ")</f>
        <v>4.057111673608825E-2</v>
      </c>
      <c r="I16" s="459">
        <f>IF(ISNUMBER(((NºAsuntos!I16/NºAsuntos!G16)-Datos!BE16)/Datos!BE16),((NºAsuntos!I16/NºAsuntos!G16)-Datos!BE16)/Datos!BE16," - ")</f>
        <v>2.9204735697692986E-2</v>
      </c>
      <c r="J16" s="464">
        <f>IF(ISNUMBER((('Resol  Asuntos'!D16/NºAsuntos!G16)-Datos!BF16)/Datos!BF16),(('Resol  Asuntos'!D16/NºAsuntos!G16)-Datos!BF16)/Datos!BF16," - ")</f>
        <v>8.1429990069513628E-3</v>
      </c>
      <c r="K16" s="465">
        <f>IF(ISNUMBER((((NºAsuntos!C16+NºAsuntos!E16)/NºAsuntos!G16)-Datos!BG16)/Datos!BG16),(((NºAsuntos!C16+NºAsuntos!E16)/NºAsuntos!G16)-Datos!BG16)/Datos!BG16," - ")</f>
        <v>-3.9671821839214359E-3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1.7261904761904763</v>
      </c>
      <c r="C17" s="459">
        <f>IF(ISNUMBER(
   IF(D_I="SI",(Datos!J17-Datos!T17)/Datos!T17,(Datos!J17+Datos!AD17-(Datos!T17+Datos!AL17))/(Datos!T17+Datos!AL17))
     ),IF(D_I="SI",(Datos!J17-Datos!T17)/Datos!T17,(Datos!J17+Datos!AD17-(Datos!T17+Datos!AL17))/(Datos!T17+Datos!AL17))," - ")</f>
        <v>5.2631578947368418E-2</v>
      </c>
      <c r="D17" s="459">
        <f>IF(ISNUMBER(
   IF(D_I="SI",(Datos!K17-Datos!U17)/Datos!U17,(Datos!K17+Datos!AE17-(Datos!U17+Datos!AM17))/(Datos!U17+Datos!AM17))
     ),IF(D_I="SI",(Datos!K17-Datos!U17)/Datos!U17,(Datos!K17+Datos!AE17-(Datos!U17+Datos!AM17))/(Datos!U17+Datos!AM17))," - ")</f>
        <v>0.22191780821917809</v>
      </c>
      <c r="E17" s="459">
        <f>IF(ISNUMBER(
   IF(D_I="SI",(Datos!L17-Datos!V17)/Datos!V17,(Datos!L17+Datos!AF17-(Datos!V17+Datos!AN17))/(Datos!V17+Datos!AN17))
     ),IF(D_I="SI",(Datos!L17-Datos!V17)/Datos!V17,(Datos!L17+Datos!AF17-(Datos!V17+Datos!AN17))/(Datos!V17+Datos!AN17))," - ")</f>
        <v>0</v>
      </c>
      <c r="F17" s="459">
        <f>IF(ISNUMBER((Datos!M17-Datos!W17)/Datos!W17),(Datos!M17-Datos!W17)/Datos!W17," - ")</f>
        <v>0.51515151515151514</v>
      </c>
      <c r="G17" s="460">
        <f>IF(ISNUMBER((Datos!N17-Datos!X17)/Datos!X17),(Datos!N17-Datos!X17)/Datos!X17," - ")</f>
        <v>0.15137614678899083</v>
      </c>
      <c r="H17" s="458">
        <f>IF(ISNUMBER(((NºAsuntos!G17/NºAsuntos!E17)-Datos!BD17)/Datos!BD17),((NºAsuntos!G17/NºAsuntos!E17)-Datos!BD17)/Datos!BD17," - ")</f>
        <v>0.16082191780821928</v>
      </c>
      <c r="I17" s="459">
        <f>IF(ISNUMBER(((NºAsuntos!I17/NºAsuntos!G17)-Datos!BE17)/Datos!BE17),((NºAsuntos!I17/NºAsuntos!G17)-Datos!BE17)/Datos!BE17," - ")</f>
        <v>-0.18161434977578467</v>
      </c>
      <c r="J17" s="464">
        <f>IF(ISNUMBER((('Resol  Asuntos'!D17/NºAsuntos!G17)-Datos!BF17)/Datos!BF17),(('Resol  Asuntos'!D17/NºAsuntos!G17)-Datos!BF17)/Datos!BF17," - ")</f>
        <v>0.23997825791547764</v>
      </c>
      <c r="K17" s="465">
        <f>IF(ISNUMBER((((NºAsuntos!C17+NºAsuntos!E17)/NºAsuntos!G17)-Datos!BG17)/Datos!BG17),(((NºAsuntos!C17+NºAsuntos!E17)/NºAsuntos!G17)-Datos!BG17)/Datos!BG17," - ")</f>
        <v>9.0637450199203259E-2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0.27515833919774807</v>
      </c>
      <c r="C18" s="858">
        <f>IF(ISNUMBER(
   IF(Criterios!B14="SI",(Datos!J18-Datos!T18)/Datos!T18,(Datos!J18+Datos!AD18-(Datos!T18+Datos!AL18))/(Datos!T18+Datos!AL18))
     ),IF(Criterios!B14="SI",(Datos!J18-Datos!T18)/Datos!T18,(Datos!J18+Datos!AD18-(Datos!T18+Datos!AL18))/(Datos!T18+Datos!AL18))," - ")</f>
        <v>-3.4078947368421056E-2</v>
      </c>
      <c r="D18" s="858">
        <f>IF(ISNUMBER(
   IF(Criterios!B14="SI",(Datos!K18-Datos!U18)/Datos!U18,(Datos!K18+Datos!AE18-(Datos!U18+Datos!AM18))/(Datos!U18+Datos!AM18))
     ),IF(Criterios!B14="SI",(Datos!K18-Datos!U18)/Datos!U18,(Datos!K18+Datos!AE18-(Datos!U18+Datos!AM18))/(Datos!U18+Datos!AM18))," - ")</f>
        <v>1.078894133513149E-2</v>
      </c>
      <c r="E18" s="858">
        <f>IF(ISNUMBER(
   IF(Criterios!B14="SI",(Datos!L18-Datos!V18)/Datos!V18,(Datos!L18+Datos!AF18-(Datos!V18+Datos!AN18))/(Datos!V18+Datos!AN18))
     ),IF(Criterios!B14="SI",(Datos!L18-Datos!V18)/Datos!V18,(Datos!L18+Datos!AF18-(Datos!V18+Datos!AN18))/(Datos!V18+Datos!AN18))," - ")</f>
        <v>2.5386313465783666E-2</v>
      </c>
      <c r="F18" s="859">
        <f>IF(ISNUMBER((Datos!M18-Datos!W18)/Datos!W18),(Datos!M18-Datos!W18)/Datos!W18," - ")</f>
        <v>3.3434650455927049E-2</v>
      </c>
      <c r="G18" s="860">
        <f>IF(ISNUMBER((Datos!N18-Datos!X18)/Datos!X18),(Datos!N18-Datos!X18)/Datos!X18," - ")</f>
        <v>1.9975540154912354E-2</v>
      </c>
      <c r="H18" s="860">
        <f>IF(ISNUMBER(((NºAsuntos!G18/NºAsuntos!E18)-Datos!BD18)/Datos!BD18),((NºAsuntos!G18/NºAsuntos!E18)-Datos!BD18)/Datos!BD18," - ")</f>
        <v>4.6450886002860577E-2</v>
      </c>
      <c r="I18" s="860">
        <f>IF(ISNUMBER(((NºAsuntos!I18/NºAsuntos!G18)-Datos!BE18)/Datos!BE18),((NºAsuntos!I18/NºAsuntos!G18)-Datos!BE18)/Datos!BE18," - ")</f>
        <v>1.4441562955141559E-2</v>
      </c>
      <c r="J18" s="860">
        <f>IF(ISNUMBER((('Resol  Asuntos'!D18/NºAsuntos!G18)-Datos!BF18)/Datos!BF18),(('Resol  Asuntos'!D18/NºAsuntos!G18)-Datos!BF18)/Datos!BF18," - ")</f>
        <v>2.2403993746590984E-2</v>
      </c>
      <c r="K18" s="860">
        <f>IF(ISNUMBER((((NºAsuntos!C18+NºAsuntos!E18)/NºAsuntos!G18)-Datos!BG18)/Datos!BG18),(((NºAsuntos!C18+NºAsuntos!E18)/NºAsuntos!G18)-Datos!BG18)/Datos!BG18," - ")</f>
        <v>3.8025572086301789E-3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6.2005448177454923E-2</v>
      </c>
      <c r="C19" s="805">
        <f>IF(ISNUMBER(
   IF(J_V="SI",(Datos!J19-Datos!T19)/Datos!T19,(Datos!J19+Datos!Z19-(Datos!T19+Datos!AH19))/(Datos!T19+Datos!AH19))
     ),IF(J_V="SI",(Datos!J19-Datos!T19)/Datos!T19,(Datos!J19+Datos!Z19-(Datos!T19+Datos!AH19))/(Datos!T19+Datos!AH19))," - ")</f>
        <v>5.1280421935565861E-2</v>
      </c>
      <c r="D19" s="805">
        <f>IF(ISNUMBER(
   IF(J_V="SI",(Datos!K19-Datos!U19)/Datos!U19,(Datos!K19+Datos!AA19-(Datos!U19+Datos!AI19))/(Datos!U19+Datos!AI19))
     ),IF(J_V="SI",(Datos!K19-Datos!U19)/Datos!U19,(Datos!K19+Datos!AA19-(Datos!U19+Datos!AI19))/(Datos!U19+Datos!AI19))," - ")</f>
        <v>2.9145794027714528E-2</v>
      </c>
      <c r="E19" s="805">
        <f>IF(ISNUMBER(
   IF(J_V="SI",(Datos!L19-Datos!V19)/Datos!V19,(Datos!L19+Datos!AB19-(Datos!V19+Datos!AJ19))/(Datos!V19+Datos!AJ19))
     ),IF(J_V="SI",(Datos!L19-Datos!V19)/Datos!V19,(Datos!L19+Datos!AB19-(Datos!V19+Datos!AJ19))/(Datos!V19+Datos!AJ19))," - ")</f>
        <v>0.23329668987419078</v>
      </c>
      <c r="F19" s="806">
        <f>IF(ISNUMBER((Datos!M19-Datos!W19)/Datos!W19),(Datos!M19-Datos!W19)/Datos!W19," - ")</f>
        <v>6.1443932411674347E-3</v>
      </c>
      <c r="G19" s="807">
        <f>IF(ISNUMBER((Datos!N19-Datos!X19)/Datos!X19),(Datos!N19-Datos!X19)/Datos!X19," - ")</f>
        <v>4.1707934411797071E-2</v>
      </c>
      <c r="H19" s="808">
        <f>IF(ISNUMBER((Tasas!B19-Datos!BD19)/Datos!BD19),(Tasas!B19-Datos!BD19)/Datos!BD19," - ")</f>
        <v>-2.1054922593439128E-2</v>
      </c>
      <c r="I19" s="809">
        <f>IF(ISNUMBER((Tasas!C19-Datos!BE19)/Datos!BE19),(Tasas!C19-Datos!BE19)/Datos!BE19," - ")</f>
        <v>0.19836926607599656</v>
      </c>
      <c r="J19" s="810">
        <f>IF(ISNUMBER((Tasas!D19-Datos!BF19)/Datos!BF19),(Tasas!D19-Datos!BF19)/Datos!BF19," - ")</f>
        <v>-0.60793624956239434</v>
      </c>
      <c r="K19" s="810">
        <f>IF(ISNUMBER((Tasas!E19-Datos!BG19)/Datos!BG19),(Tasas!E19-Datos!BG19)/Datos!BG19," - ")</f>
        <v>2.4934267031941432E-2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JPfNfpoh6bKbB0TuwNMXEw97gCPb2BsZDhs0/ZC/q3a0SGS2CiYcvVrBSzN7BVMuwHCk4fdl9juagrhHPHyaqg==" saltValue="dCRP/opHsCSWqODsfbsp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VALDEMORO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0.69047619047619047</v>
      </c>
      <c r="C10" s="446">
        <f>IF(ISNUMBER(NºAsuntos!I10/NºAsuntos!G10),NºAsuntos!I10/NºAsuntos!G10," - ")</f>
        <v>4.7931034482758621</v>
      </c>
      <c r="D10" s="447">
        <f>IF(ISNUMBER('Resol  Asuntos'!D10/NºAsuntos!G10),'Resol  Asuntos'!D10/NºAsuntos!G10," - ")</f>
        <v>0.34482758620689657</v>
      </c>
      <c r="E10" s="448">
        <f>IF(ISNUMBER((NºAsuntos!C10+NºAsuntos!E10)/NºAsuntos!G10),(NºAsuntos!C10+NºAsuntos!E10)/NºAsuntos!G10," - ")</f>
        <v>5.7931034482758621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0.90546883527999122</v>
      </c>
      <c r="C12" s="446">
        <f>IF(ISNUMBER(NºAsuntos!I12/NºAsuntos!G12),NºAsuntos!I12/NºAsuntos!G12," - ")</f>
        <v>0.97649186256781195</v>
      </c>
      <c r="D12" s="447">
        <f>IF(ISNUMBER('Resol  Asuntos'!D12/NºAsuntos!G12),'Resol  Asuntos'!D12/NºAsuntos!G12," - ")</f>
        <v>0.15370705244122965</v>
      </c>
      <c r="E12" s="448">
        <f>IF(ISNUMBER((NºAsuntos!C12+NºAsuntos!E12)/NºAsuntos!G12),(NºAsuntos!C12+NºAsuntos!E12)/NºAsuntos!G12," - ")</f>
        <v>1.8577456298975286</v>
      </c>
      <c r="G12" s="466"/>
    </row>
    <row r="13" spans="1:7" ht="14.25" thickTop="1" thickBot="1">
      <c r="A13" s="851" t="str">
        <f>Datos!A13</f>
        <v>TOTAL</v>
      </c>
      <c r="B13" s="861">
        <f>IF(ISNUMBER(NºAsuntos!G13/NºAsuntos!E13),NºAsuntos!G13/NºAsuntos!E13," - ")</f>
        <v>0.90448766706508743</v>
      </c>
      <c r="C13" s="862">
        <f>IF(ISNUMBER(NºAsuntos!I13/NºAsuntos!G13),NºAsuntos!I13/NºAsuntos!G13," - ")</f>
        <v>0.98978856319077368</v>
      </c>
      <c r="D13" s="863">
        <f>IF(ISNUMBER('Resol  Asuntos'!D13/NºAsuntos!G13),'Resol  Asuntos'!D13/NºAsuntos!G13," - ")</f>
        <v>0.1543728976453628</v>
      </c>
      <c r="E13" s="864">
        <f>IF(ISNUMBER((NºAsuntos!C13+NºAsuntos!E13)/NºAsuntos!G13),(NºAsuntos!C13+NºAsuntos!E13)/NºAsuntos!G13," - ")</f>
        <v>1.871456030754445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1.0214461672221418</v>
      </c>
      <c r="C16" s="446">
        <f>IF(ISNUMBER(NºAsuntos!I16/NºAsuntos!G16),NºAsuntos!I16/NºAsuntos!G16," - ")</f>
        <v>0.23109660944814867</v>
      </c>
      <c r="D16" s="447">
        <f>IF(ISNUMBER('Resol  Asuntos'!D16/NºAsuntos!G16),'Resol  Asuntos'!D16/NºAsuntos!G16," - ")</f>
        <v>8.937437934458789E-2</v>
      </c>
      <c r="E16" s="448">
        <f>IF(ISNUMBER((NºAsuntos!C16+NºAsuntos!E16)/NºAsuntos!G16),(NºAsuntos!C16+NºAsuntos!E16)/NºAsuntos!G16," - ")</f>
        <v>1.2035749751737834</v>
      </c>
      <c r="G16" s="466"/>
    </row>
    <row r="17" spans="1:7" ht="13.5" thickBot="1">
      <c r="A17" s="405" t="str">
        <f>Datos!A17</f>
        <v>Jdos. Violencia contra la mujer</v>
      </c>
      <c r="B17" s="445">
        <f>IF(ISNUMBER(NºAsuntos!G17/NºAsuntos!E17),NºAsuntos!G17/NºAsuntos!E17," - ")</f>
        <v>1.0136363636363637</v>
      </c>
      <c r="C17" s="446">
        <f>IF(ISNUMBER(NºAsuntos!I17/NºAsuntos!G17),NºAsuntos!I17/NºAsuntos!G17," - ")</f>
        <v>0.51345291479820632</v>
      </c>
      <c r="D17" s="447">
        <f>IF(ISNUMBER('Resol  Asuntos'!D17/NºAsuntos!G17),'Resol  Asuntos'!D17/NºAsuntos!G17," - ")</f>
        <v>0.11210762331838565</v>
      </c>
      <c r="E17" s="448">
        <f>IF(ISNUMBER((NºAsuntos!C17+NºAsuntos!E17)/NºAsuntos!G17),(NºAsuntos!C17+NºAsuntos!E17)/NºAsuntos!G17," - ")</f>
        <v>1.5</v>
      </c>
      <c r="G17" s="466"/>
    </row>
    <row r="18" spans="1:7" ht="14.25" thickTop="1" thickBot="1">
      <c r="A18" s="851" t="str">
        <f>Datos!A18</f>
        <v>TOTAL</v>
      </c>
      <c r="B18" s="861">
        <f>IF(ISNUMBER(NºAsuntos!G18/NºAsuntos!E18),NºAsuntos!G18/NºAsuntos!E18," - ")</f>
        <v>1.020978068383054</v>
      </c>
      <c r="C18" s="862">
        <f>IF(ISNUMBER(NºAsuntos!I18/NºAsuntos!G18),NºAsuntos!I18/NºAsuntos!G18," - ")</f>
        <v>0.24789859906604403</v>
      </c>
      <c r="D18" s="865">
        <f>IF(ISNUMBER('Resol  Asuntos'!D18/NºAsuntos!G18),'Resol  Asuntos'!D18/NºAsuntos!G18," - ")</f>
        <v>9.0727151434289527E-2</v>
      </c>
      <c r="E18" s="864">
        <f>IF(ISNUMBER((NºAsuntos!C18+NºAsuntos!E18)/NºAsuntos!G18),(NºAsuntos!C18+NºAsuntos!E18)/NºAsuntos!G18," - ")</f>
        <v>1.2212141427618413</v>
      </c>
      <c r="G18" s="466"/>
    </row>
    <row r="19" spans="1:7" ht="15.75" customHeight="1" thickTop="1" thickBot="1">
      <c r="A19" s="796" t="str">
        <f>Datos!A19</f>
        <v>TOTAL JURISDICCIONES</v>
      </c>
      <c r="B19" s="811">
        <f>IF(ISNUMBER(NºAsuntos!G19/NºAsuntos!E19),NºAsuntos!G19/NºAsuntos!E19," - ")</f>
        <v>0.9561774661508704</v>
      </c>
      <c r="C19" s="812">
        <f>IF(ISNUMBER(NºAsuntos!I19/NºAsuntos!G19),NºAsuntos!I19/NºAsuntos!G19," - ")</f>
        <v>0.63828307731209311</v>
      </c>
      <c r="D19" s="813">
        <f>IF(ISNUMBER('Resol  Asuntos'!D19/NºAsuntos!G19),'Resol  Asuntos'!D19/NºAsuntos!G19," - ")</f>
        <v>0.12421771287692016</v>
      </c>
      <c r="E19" s="814">
        <f>IF(ISNUMBER((NºAsuntos!C19+NºAsuntos!E19)/NºAsuntos!G19),(NºAsuntos!C19+NºAsuntos!E19)/NºAsuntos!G19," - ")</f>
        <v>1.5633731588595992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fP1bO8zPfNKe8soykx7gfNgy+FB00vD46y0iUzzWk3MFKqfNCgSNpSJzJ1ct3H5zqU7xQQ+5CmQszYD/EuKkw==" saltValue="2t2fQBe8HTZu91Ex8dS5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VALDEMORO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126</v>
      </c>
      <c r="G10" s="336">
        <f>IF(ISNUMBER(Datos!I10),Datos!I10," - ")</f>
        <v>126</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16</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29</v>
      </c>
      <c r="X10" s="229">
        <f>IF(ISNUMBER(Datos!Q10),Datos!Q10," - ")</f>
        <v>7</v>
      </c>
      <c r="Y10" s="337">
        <f t="shared" ref="Y10:Y12" si="0">SUM(W10:X10)</f>
        <v>36</v>
      </c>
      <c r="Z10" s="338" t="str">
        <f>IF(ISNUMBER(Datos!CC10),Datos!CC10," - ")</f>
        <v xml:space="preserve"> - </v>
      </c>
      <c r="AA10" s="335">
        <f>IF(ISNUMBER(Datos!L10),Datos!L10,"-")</f>
        <v>139</v>
      </c>
      <c r="AB10" s="337">
        <f>IF(ISNUMBER(Datos!R10),Datos!R10," - ")</f>
        <v>66</v>
      </c>
      <c r="AC10" s="337">
        <f t="shared" ref="AC10:AC12" si="1">IF(ISNUMBER(AA10+AB10),AA10+AB10," - ")</f>
        <v>205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10</v>
      </c>
      <c r="AJ10" s="234" t="str">
        <f>IF(ISNUMBER(Datos!BW10),Datos!BW10," - ")</f>
        <v xml:space="preserve"> - </v>
      </c>
      <c r="AK10" s="235" t="str">
        <f>IF(ISNUMBER(Datos!BX10),Datos!BX10," - ")</f>
        <v xml:space="preserve"> - </v>
      </c>
      <c r="AL10" s="246">
        <f>IF(ISNUMBER(NºAsuntos!G10/NºAsuntos!E10),NºAsuntos!G10/NºAsuntos!E10," - ")</f>
        <v>0.69047619047619047</v>
      </c>
      <c r="AM10" s="263">
        <f>IF(ISNUMBER(((NºAsuntos!I10/NºAsuntos!G10)*11)/factor_trimestre),((NºAsuntos!I10/NºAsuntos!G10)*11)/factor_trimestre," - ")</f>
        <v>52.724137931034484</v>
      </c>
      <c r="AN10" s="247">
        <f>IF(ISNUMBER('Resol  Asuntos'!D10/NºAsuntos!G10),'Resol  Asuntos'!D10/NºAsuntos!G10," - ")</f>
        <v>0.34482758620689657</v>
      </c>
      <c r="AO10" s="248">
        <f>IF(ISNUMBER((NºAsuntos!C10+NºAsuntos!E10)/NºAsuntos!G10),(NºAsuntos!C10+NºAsuntos!E10)/NºAsuntos!G10," - ")</f>
        <v>5.7931034482758621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8</v>
      </c>
      <c r="B12" s="278" t="s">
        <v>246</v>
      </c>
      <c r="C12" s="7" t="str">
        <f>Datos!A12</f>
        <v xml:space="preserve">Jdos. 1ª Instª. e Instr.                        </v>
      </c>
      <c r="D12" s="7"/>
      <c r="E12" s="1028">
        <f>IF(ISNUMBER(Datos!AQ12),Datos!AQ12," - ")</f>
        <v>8</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1718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1436</v>
      </c>
      <c r="Y12" s="337">
        <f t="shared" si="0"/>
        <v>1436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8968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1275</v>
      </c>
      <c r="AJ12" s="232" t="str">
        <f>IF(ISNUMBER(Datos!BW12),Datos!BW12," - ")</f>
        <v xml:space="preserve"> - </v>
      </c>
      <c r="AK12" s="231" t="str">
        <f>IF(ISNUMBER(Datos!BX12),Datos!BX12," - ")</f>
        <v xml:space="preserve"> - </v>
      </c>
      <c r="AL12" s="246">
        <f>IF(ISNUMBER(NºAsuntos!G12/NºAsuntos!E12),NºAsuntos!G12/NºAsuntos!E12," - ")</f>
        <v>0.90546883527999122</v>
      </c>
      <c r="AM12" s="263">
        <f>IF(ISNUMBER(((NºAsuntos!I12/NºAsuntos!G12)*11)/factor_trimestre),((NºAsuntos!I12/NºAsuntos!G12)*11)/factor_trimestre," - ")</f>
        <v>10.741410488245931</v>
      </c>
      <c r="AN12" s="247">
        <f>IF(ISNUMBER('Resol  Asuntos'!D12/NºAsuntos!G12),'Resol  Asuntos'!D12/NºAsuntos!G12," - ")</f>
        <v>0.15370705244122965</v>
      </c>
      <c r="AO12" s="248">
        <f>IF(ISNUMBER((NºAsuntos!C12+NºAsuntos!E12)/NºAsuntos!G12),(NºAsuntos!C12+NºAsuntos!E12)/NºAsuntos!G12," - ")</f>
        <v>1.8577456298975286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126</v>
      </c>
      <c r="G13" s="869">
        <f t="shared" si="3"/>
        <v>126</v>
      </c>
      <c r="H13" s="868">
        <f t="shared" si="3"/>
        <v>0</v>
      </c>
      <c r="I13" s="870">
        <f t="shared" si="3"/>
        <v>0</v>
      </c>
      <c r="J13" s="870">
        <f t="shared" si="3"/>
        <v>0</v>
      </c>
      <c r="K13" s="870">
        <f t="shared" si="3"/>
        <v>0</v>
      </c>
      <c r="L13" s="870">
        <f t="shared" si="3"/>
        <v>1734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29</v>
      </c>
      <c r="X13" s="870">
        <f t="shared" si="4"/>
        <v>1443</v>
      </c>
      <c r="Y13" s="871">
        <f t="shared" si="4"/>
        <v>1472</v>
      </c>
      <c r="Z13" s="871">
        <f t="shared" si="4"/>
        <v>0</v>
      </c>
      <c r="AA13" s="871">
        <f t="shared" si="4"/>
        <v>139</v>
      </c>
      <c r="AB13" s="871">
        <f t="shared" si="4"/>
        <v>9034</v>
      </c>
      <c r="AC13" s="871">
        <f t="shared" si="4"/>
        <v>205</v>
      </c>
      <c r="AD13" s="871">
        <f t="shared" si="4"/>
        <v>0</v>
      </c>
      <c r="AE13" s="875">
        <f t="shared" si="4"/>
        <v>0</v>
      </c>
      <c r="AF13" s="868">
        <f t="shared" si="4"/>
        <v>0</v>
      </c>
      <c r="AG13" s="876">
        <f t="shared" si="4"/>
        <v>0</v>
      </c>
      <c r="AH13" s="873">
        <f t="shared" si="4"/>
        <v>0</v>
      </c>
      <c r="AI13" s="868">
        <f t="shared" si="4"/>
        <v>1285</v>
      </c>
      <c r="AJ13" s="870">
        <f t="shared" si="4"/>
        <v>0</v>
      </c>
      <c r="AK13" s="873">
        <f>SUBTOTAL(9,AK9:AK12)</f>
        <v>0</v>
      </c>
      <c r="AL13" s="877">
        <f>IF(ISNUMBER(NºAsuntos!G13/NºAsuntos!E13),NºAsuntos!G13/NºAsuntos!E13," - ")</f>
        <v>0.90448766706508743</v>
      </c>
      <c r="AM13" s="877">
        <f>IF(ISNUMBER(((NºAsuntos!I13/NºAsuntos!G13)*11)/factor_trimestre),((NºAsuntos!I13/NºAsuntos!G13)*11)/factor_trimestre," - ")</f>
        <v>10.88767419509851</v>
      </c>
      <c r="AN13" s="878">
        <f>IF(ISNUMBER('Resol  Asuntos'!D13/NºAsuntos!G13),'Resol  Asuntos'!D13/NºAsuntos!G13," - ")</f>
        <v>0.1543728976453628</v>
      </c>
      <c r="AO13" s="879">
        <f>IF(ISNUMBER((NºAsuntos!C13+NºAsuntos!E13)/NºAsuntos!G13),(NºAsuntos!C13+NºAsuntos!E13)/NºAsuntos!G13," - ")</f>
        <v>1.871456030754445</v>
      </c>
      <c r="AP13" s="880" t="str">
        <f t="shared" si="2"/>
        <v xml:space="preserve"> - </v>
      </c>
      <c r="AQ13" s="880">
        <f>IF(ISNUMBER((H13-W13+K13)/(F13)),(H13-W13+K13)/(F13)," - ")</f>
        <v>-0.23015873015873015</v>
      </c>
      <c r="AR13" s="881">
        <f>IF(ISNUMBER((Datos!P13-Datos!Q13)/(Datos!R13-Datos!P13+Datos!Q13)),(Datos!P13-Datos!Q13)/(Datos!R13-Datos!P13+Datos!Q13)," - ")</f>
        <v>3.328376987304129E-2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8</v>
      </c>
      <c r="B16" s="278" t="s">
        <v>396</v>
      </c>
      <c r="C16" s="163" t="str">
        <f>Datos!A16</f>
        <v xml:space="preserve">Jdos. 1ª Instª. e Instr.                        </v>
      </c>
      <c r="D16" s="163"/>
      <c r="E16" s="1028">
        <f>IF(ISNUMBER(Datos!AQ16),Datos!AQ16," - ")</f>
        <v>8</v>
      </c>
      <c r="F16" s="228">
        <f>IF(ISNUMBER(AA16+W16-Datos!J16-K16),AA16+W16-Datos!J16-K16," - ")</f>
        <v>1777</v>
      </c>
      <c r="G16" s="336">
        <f>IF(ISNUMBER(IF(D_I="SI",Datos!I16,Datos!I16+Datos!AC16)),IF(D_I="SI",Datos!I16,Datos!I16+Datos!AC16)," - ")</f>
        <v>1583</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253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7049</v>
      </c>
      <c r="X16" s="229">
        <f>IF(ISNUMBER(Datos!Q16),Datos!Q16," - ")</f>
        <v>254</v>
      </c>
      <c r="Y16" s="337">
        <f t="shared" ref="Y16:Y17" si="7">SUM(W16:X16)</f>
        <v>7303</v>
      </c>
      <c r="Z16" s="338" t="str">
        <f>IF(ISNUMBER(Datos!CC16),Datos!CC16," - ")</f>
        <v xml:space="preserve"> - </v>
      </c>
      <c r="AA16" s="335">
        <f>IF(ISNUMBER(IF(D_I="SI",Datos!L16,Datos!L16+Datos!AF16)),IF(D_I="SI",Datos!L16,Datos!L16+Datos!AF16)," - ")</f>
        <v>1629</v>
      </c>
      <c r="AB16" s="337">
        <f>IF(ISNUMBER(Datos!R16),Datos!R16," - ")</f>
        <v>255</v>
      </c>
      <c r="AC16" s="337">
        <f t="shared" si="6"/>
        <v>1884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630</v>
      </c>
      <c r="AJ16" s="234" t="str">
        <f>IF(ISNUMBER(Datos!BW16),Datos!BW16," - ")</f>
        <v xml:space="preserve"> - </v>
      </c>
      <c r="AK16" s="235" t="str">
        <f>IF(ISNUMBER(Datos!BX16),Datos!BX16," - ")</f>
        <v xml:space="preserve"> - </v>
      </c>
      <c r="AL16" s="246">
        <f>IF(ISNUMBER(NºAsuntos!G16/NºAsuntos!E16),NºAsuntos!G16/NºAsuntos!E16," - ")</f>
        <v>1.0214461672221418</v>
      </c>
      <c r="AM16" s="263">
        <f>IF(ISNUMBER(((NºAsuntos!I16/NºAsuntos!G16)*11)/factor_trimestre),((NºAsuntos!I16/NºAsuntos!G16)*11)/factor_trimestre," - ")</f>
        <v>2.5420627039296355</v>
      </c>
      <c r="AN16" s="247">
        <f>IF(ISNUMBER('Resol  Asuntos'!D16/NºAsuntos!G16),'Resol  Asuntos'!D16/NºAsuntos!G16," - ")</f>
        <v>8.937437934458789E-2</v>
      </c>
      <c r="AO16" s="248">
        <f>IF(ISNUMBER((NºAsuntos!C16+NºAsuntos!E16)/NºAsuntos!G16),(NºAsuntos!C16+NºAsuntos!E16)/NºAsuntos!G16," - ")</f>
        <v>1.2035749751737834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229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446</v>
      </c>
      <c r="X17" s="229">
        <f>IF(ISNUMBER(Datos!Q17),Datos!Q17," - ")</f>
        <v>1</v>
      </c>
      <c r="Y17" s="337">
        <f t="shared" si="7"/>
        <v>447</v>
      </c>
      <c r="Z17" s="338" t="str">
        <f>IF(ISNUMBER(Datos!CC17),Datos!CC17," - ")</f>
        <v xml:space="preserve"> - </v>
      </c>
      <c r="AA17" s="335">
        <f>IF(ISNUMBER(Datos!L17),Datos!L17,"-")</f>
        <v>229</v>
      </c>
      <c r="AB17" s="337">
        <f>IF(ISNUMBER(Datos!R17),Datos!R17," - ")</f>
        <v>16</v>
      </c>
      <c r="AC17" s="337">
        <f t="shared" si="6"/>
        <v>245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50</v>
      </c>
      <c r="AJ17" s="234" t="str">
        <f>IF(ISNUMBER(Datos!BW17),Datos!BW17," - ")</f>
        <v xml:space="preserve"> - </v>
      </c>
      <c r="AK17" s="235" t="str">
        <f>IF(ISNUMBER(Datos!BX17),Datos!BX17," - ")</f>
        <v xml:space="preserve"> - </v>
      </c>
      <c r="AL17" s="246">
        <f>IF(ISNUMBER(NºAsuntos!G17/NºAsuntos!E17),NºAsuntos!G17/NºAsuntos!E17," - ")</f>
        <v>1.0136363636363637</v>
      </c>
      <c r="AM17" s="263">
        <f>IF(ISNUMBER(((NºAsuntos!I17/NºAsuntos!G17)*11)/factor_trimestre),((NºAsuntos!I17/NºAsuntos!G17)*11)/factor_trimestre," - ")</f>
        <v>5.6479820627802697</v>
      </c>
      <c r="AN17" s="247">
        <f>IF(ISNUMBER('Resol  Asuntos'!D17/NºAsuntos!G17),'Resol  Asuntos'!D17/NºAsuntos!G17," - ")</f>
        <v>0.11210762331838565</v>
      </c>
      <c r="AO17" s="248">
        <f>IF(ISNUMBER((NºAsuntos!C17+NºAsuntos!E17)/NºAsuntos!G17),(NºAsuntos!C17+NºAsuntos!E17)/NºAsuntos!G17," - ")</f>
        <v>1.5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8</v>
      </c>
      <c r="F18" s="868">
        <f>SUBTOTAL(9,F14:F17)</f>
        <v>1777</v>
      </c>
      <c r="G18" s="869">
        <f>SUBTOTAL(9,G15:G17)</f>
        <v>1812</v>
      </c>
      <c r="H18" s="868">
        <f t="shared" ref="H18:O18" si="10">SUBTOTAL(9,H14:H17)</f>
        <v>0</v>
      </c>
      <c r="I18" s="870">
        <f t="shared" si="10"/>
        <v>0</v>
      </c>
      <c r="J18" s="870">
        <f t="shared" si="10"/>
        <v>0</v>
      </c>
      <c r="K18" s="870">
        <f t="shared" si="10"/>
        <v>0</v>
      </c>
      <c r="L18" s="870">
        <f t="shared" si="10"/>
        <v>257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7495</v>
      </c>
      <c r="X18" s="870">
        <f t="shared" si="11"/>
        <v>255</v>
      </c>
      <c r="Y18" s="871">
        <f t="shared" si="11"/>
        <v>7750</v>
      </c>
      <c r="Z18" s="871">
        <f t="shared" si="11"/>
        <v>0</v>
      </c>
      <c r="AA18" s="871">
        <f t="shared" si="11"/>
        <v>1858</v>
      </c>
      <c r="AB18" s="871">
        <f t="shared" si="11"/>
        <v>271</v>
      </c>
      <c r="AC18" s="871">
        <f t="shared" si="11"/>
        <v>2129</v>
      </c>
      <c r="AD18" s="871">
        <f t="shared" si="11"/>
        <v>0</v>
      </c>
      <c r="AE18" s="875">
        <f t="shared" si="11"/>
        <v>0</v>
      </c>
      <c r="AF18" s="868">
        <f t="shared" si="11"/>
        <v>0</v>
      </c>
      <c r="AG18" s="876">
        <f t="shared" si="11"/>
        <v>0</v>
      </c>
      <c r="AH18" s="873">
        <f t="shared" si="11"/>
        <v>0</v>
      </c>
      <c r="AI18" s="868">
        <f t="shared" si="11"/>
        <v>680</v>
      </c>
      <c r="AJ18" s="870">
        <f t="shared" si="11"/>
        <v>0</v>
      </c>
      <c r="AK18" s="873">
        <f t="shared" si="11"/>
        <v>0</v>
      </c>
      <c r="AL18" s="877">
        <f>IF(ISNUMBER(NºAsuntos!G18/NºAsuntos!E18),NºAsuntos!G18/NºAsuntos!E18," - ")</f>
        <v>1.020978068383054</v>
      </c>
      <c r="AM18" s="877">
        <f>IF(ISNUMBER(((NºAsuntos!I18/NºAsuntos!G18)*11)/factor_trimestre),((NºAsuntos!I18/NºAsuntos!G18)*11)/factor_trimestre," - ")</f>
        <v>2.7268845897264842</v>
      </c>
      <c r="AN18" s="878">
        <f>IF(ISNUMBER('Resol  Asuntos'!D18/NºAsuntos!G18),'Resol  Asuntos'!D18/NºAsuntos!G18," - ")</f>
        <v>9.0727151434289527E-2</v>
      </c>
      <c r="AO18" s="879">
        <f>IF(ISNUMBER((NºAsuntos!C18+NºAsuntos!E18)/NºAsuntos!G18),(NºAsuntos!C18+NºAsuntos!E18)/NºAsuntos!G18," - ")</f>
        <v>1.2212141427618413</v>
      </c>
      <c r="AP18" s="880" t="str">
        <f t="shared" si="2"/>
        <v xml:space="preserve"> - </v>
      </c>
      <c r="AQ18" s="880">
        <f>IF(ISNUMBER((H18-W18+K18)/(F18)),(H18-W18+K18)/(F18)," - ")</f>
        <v>-4.2177827799662353</v>
      </c>
      <c r="AR18" s="881">
        <f>IF(ISNUMBER((Datos!P18-Datos!Q18)/(Datos!R18-Datos!P18+Datos!Q18)),(Datos!P18-Datos!Q18)/(Datos!R18-Datos!P18+Datos!Q18)," - ")</f>
        <v>7.4349442379182153E-3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1903</v>
      </c>
      <c r="G19" s="824">
        <f t="shared" si="13"/>
        <v>1938</v>
      </c>
      <c r="H19" s="823">
        <f t="shared" si="13"/>
        <v>0</v>
      </c>
      <c r="I19" s="825">
        <f t="shared" si="13"/>
        <v>0</v>
      </c>
      <c r="J19" s="825">
        <f t="shared" si="13"/>
        <v>0</v>
      </c>
      <c r="K19" s="884">
        <f t="shared" si="13"/>
        <v>0</v>
      </c>
      <c r="L19" s="825">
        <f t="shared" si="13"/>
        <v>1991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7524</v>
      </c>
      <c r="X19" s="824">
        <f t="shared" si="14"/>
        <v>1698</v>
      </c>
      <c r="Y19" s="831">
        <f t="shared" si="14"/>
        <v>9222</v>
      </c>
      <c r="Z19" s="831">
        <f t="shared" si="14"/>
        <v>0</v>
      </c>
      <c r="AA19" s="831">
        <f t="shared" si="14"/>
        <v>1997</v>
      </c>
      <c r="AB19" s="831">
        <f t="shared" si="14"/>
        <v>9305</v>
      </c>
      <c r="AC19" s="831">
        <f t="shared" si="14"/>
        <v>2334</v>
      </c>
      <c r="AD19" s="831">
        <f t="shared" si="14"/>
        <v>0</v>
      </c>
      <c r="AE19" s="833">
        <f t="shared" si="14"/>
        <v>0</v>
      </c>
      <c r="AF19" s="834">
        <f t="shared" si="14"/>
        <v>0</v>
      </c>
      <c r="AG19" s="835">
        <f t="shared" si="14"/>
        <v>0</v>
      </c>
      <c r="AH19" s="833">
        <f t="shared" si="14"/>
        <v>0</v>
      </c>
      <c r="AI19" s="823">
        <f t="shared" si="14"/>
        <v>1965</v>
      </c>
      <c r="AJ19" s="823">
        <f t="shared" si="14"/>
        <v>0</v>
      </c>
      <c r="AK19" s="833">
        <f t="shared" si="14"/>
        <v>0</v>
      </c>
      <c r="AL19" s="887">
        <f>IF(ISNUMBER(NºAsuntos!G19/NºAsuntos!E19),NºAsuntos!G19/NºAsuntos!E19," - ")</f>
        <v>0.9561774661508704</v>
      </c>
      <c r="AM19" s="888">
        <f>IF(ISNUMBER(((NºAsuntos!I19/NºAsuntos!G19)*11)/factor_trimestre),((NºAsuntos!I19/NºAsuntos!G19)*11)/factor_trimestre," - ")</f>
        <v>7.0211138504330242</v>
      </c>
      <c r="AN19" s="888">
        <f>IF(ISNUMBER('Resol  Asuntos'!D19/NºAsuntos!G19),'Resol  Asuntos'!D19/NºAsuntos!G19," - ")</f>
        <v>0.12421771287692016</v>
      </c>
      <c r="AO19" s="889">
        <f>IF(ISNUMBER((NºAsuntos!C19+NºAsuntos!E19)/NºAsuntos!G19),(NºAsuntos!C19+NºAsuntos!E19)/NºAsuntos!G19," - ")</f>
        <v>1.5633731588595992</v>
      </c>
      <c r="AP19" s="890" t="str">
        <f t="shared" si="2"/>
        <v xml:space="preserve"> - </v>
      </c>
      <c r="AQ19" s="891">
        <f>IF(OR(ISNUMBER(FIND("01",Criterios!A8,1)),ISNUMBER(FIND("02",Criterios!A8,1)),ISNUMBER(FIND("03",Criterios!A8,1)),ISNUMBER(FIND("04",Criterios!A8,1))),(I19-W19+K19)/(F19-K19),(H19-W19+K19)/(F19-K19))</f>
        <v>-3.953757225433526</v>
      </c>
      <c r="AR19" s="892">
        <f>IF(ISNUMBER((Datos!P19-Datos!Q19)/(Datos!R19-Datos!P19+Datos!Q19)),(Datos!P19-Datos!Q19)/(Datos!R19-Datos!P19+Datos!Q19)," - ")</f>
        <v>3.251220594762539E-2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775.2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4.2163702135578394</v>
      </c>
      <c r="F21" s="255">
        <f>IF(ISNUMBER(STDEV(F8:F18)),STDEV(F8:F18),"-")</f>
        <v>953.20529443207215</v>
      </c>
      <c r="G21" s="256">
        <f>IF(ISNUMBER(STDEV(G8:G18)),STDEV(G8:G18),"-")</f>
        <v>846.8693523796926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3897.9341708140737</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559.39252765835192</v>
      </c>
      <c r="AJ21" s="255">
        <f t="shared" si="18"/>
        <v>0</v>
      </c>
      <c r="AK21" s="257">
        <f t="shared" si="18"/>
        <v>0</v>
      </c>
      <c r="AL21" s="252">
        <f t="shared" si="18"/>
        <v>0.12819256611213584</v>
      </c>
      <c r="AM21" s="253">
        <f t="shared" si="18"/>
        <v>19.223520056309106</v>
      </c>
      <c r="AN21" s="253">
        <f t="shared" si="18"/>
        <v>9.6203917655208804E-2</v>
      </c>
      <c r="AO21" s="254">
        <f t="shared" si="18"/>
        <v>1.764436467649936</v>
      </c>
      <c r="AP21" s="294" t="str">
        <f t="shared" si="18"/>
        <v>-</v>
      </c>
      <c r="AQ21" s="295">
        <f t="shared" si="18"/>
        <v>2.8196760064414499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YBDRO7bF4i/168NCtc/cAdvywQKBUod8J0CPhaJoFLvqxzU6Dd2IbcPyYKhzIgE6DBlHaEKkuIo7nAs9tD+Hpg==" saltValue="GIRh87SVZF+zfXKZkyGi7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VALDEMORO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0.43181818181818182</v>
      </c>
      <c r="E10" s="351">
        <f>IF(ISNUMBER((Datos!J10-Datos!T10)/Datos!T10),(Datos!J10-Datos!T10)/Datos!T10," - ")</f>
        <v>-0.50588235294117645</v>
      </c>
      <c r="F10" s="351">
        <f>IF(ISNUMBER((Datos!K10-Datos!U10)/Datos!U10),(Datos!K10-Datos!U10)/Datos!U10," - ")</f>
        <v>-0.38297872340425532</v>
      </c>
      <c r="G10" s="352">
        <f>IF(ISNUMBER((Datos!L10-Datos!V10)/Datos!V10),(Datos!L10-Datos!V10)/Datos!V10," - ")</f>
        <v>0.10317460317460317</v>
      </c>
      <c r="H10" s="233">
        <f>IF(ISNUMBER((Datos!M10-Datos!W10)/Datos!W10),(Datos!M10-Datos!W10)/Datos!W10," - ")</f>
        <v>-0.72222222222222221</v>
      </c>
      <c r="I10" s="353">
        <f>IF(ISNUMBER((Tasas!C10-Datos!BE10)/Datos!BE10),(Tasas!C10-Datos!BE10)/Datos!BE10," - ")</f>
        <v>0.78790366721401195</v>
      </c>
      <c r="J10" s="352">
        <f>IF(ISNUMBER((Tasas!D10-Datos!BF10)/Datos!BF10),(Tasas!D10-Datos!BF10)/Datos!BF10," - ")</f>
        <v>-0.54980842911877392</v>
      </c>
      <c r="K10" s="354">
        <f>IF(ISNUMBER((Tasas!E10-Datos!BG10)/Datos!BG10),(Tasas!E10-Datos!BG10)/Datos!BG10," - ")</f>
        <v>0.57384891369344226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1.2708498808578236E-2</v>
      </c>
      <c r="I12" s="353">
        <f>IF(ISNUMBER((Tasas!C12-Datos!BE12)/Datos!BE12),(Tasas!C12-Datos!BE12)/Datos!BE12," - ")</f>
        <v>0.23588960490459673</v>
      </c>
      <c r="J12" s="352">
        <f>IF(ISNUMBER((Tasas!D12-Datos!BF12)/Datos!BF12),(Tasas!D12-Datos!BF12)/Datos!BF12," - ")</f>
        <v>-0.70889150436837045</v>
      </c>
      <c r="K12" s="354">
        <f>IF(ISNUMBER((Tasas!E12-Datos!BG12)/Datos!BG12),(Tasas!E12-Datos!BG12)/Datos!BG12," - ")</f>
        <v>3.0936723748214465E-2</v>
      </c>
      <c r="M12" t="e">
        <f>IF(Monitorios="SI",Datos!CE12,0)</f>
        <v>#REF!</v>
      </c>
      <c r="N12" t="e">
        <f>IF(Monitorios="SI",Datos!CF12,0)</f>
        <v>#REF!</v>
      </c>
      <c r="O12" t="e">
        <f>IF(Monitorios="SI",Datos!CG12,0)</f>
        <v>#REF!</v>
      </c>
      <c r="P12" t="e">
        <f>IF(Monitorios="SI",Datos!CH12,0)</f>
        <v>#REF!</v>
      </c>
      <c r="Q12">
        <f>IF(J_V="SI",0,Datos!AG12)</f>
        <v>261</v>
      </c>
      <c r="R12">
        <f>IF(J_V="SI",0,Datos!AH12)</f>
        <v>1044</v>
      </c>
      <c r="S12">
        <f>IF(J_V="SI",0,Datos!AI12)</f>
        <v>1077</v>
      </c>
      <c r="T12">
        <f>IF(J_V="SI",0,Datos!AJ12)</f>
        <v>228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-7.7220077220077222E-3</v>
      </c>
      <c r="I13" s="360">
        <f>IF(ISNUMBER((Tasas!C13-Datos!BE13)/Datos!BE13),(Tasas!C13-Datos!BE13)/Datos!BE13," - ")</f>
        <v>0.2352561268620855</v>
      </c>
      <c r="J13" s="358">
        <f>IF(ISNUMBER((Tasas!D13-Datos!BF13)/Datos!BF13),(Tasas!D13-Datos!BF13)/Datos!BF13," - ")</f>
        <v>-0.70840674889209254</v>
      </c>
      <c r="K13" s="361">
        <f>IF(ISNUMBER((Tasas!E13-Datos!BG13)/Datos!BG13),(Tasas!E13-Datos!BG13)/Datos!BG13," - ")</f>
        <v>3.2187464865328558E-2</v>
      </c>
      <c r="M13" t="e">
        <f>IF(Monitorios="SI",Datos!CE13,0)</f>
        <v>#REF!</v>
      </c>
      <c r="N13" t="e">
        <f>IF(Monitorios="SI",Datos!CF13,0)</f>
        <v>#REF!</v>
      </c>
      <c r="O13" t="e">
        <f>IF(Monitorios="SI",Datos!CG13,0)</f>
        <v>#REF!</v>
      </c>
      <c r="P13" t="e">
        <f>IF(Monitorios="SI",Datos!CH13,0)</f>
        <v>#REF!</v>
      </c>
      <c r="Q13">
        <f>IF(J_V="SI",0,Datos!AG13)</f>
        <v>261</v>
      </c>
      <c r="R13">
        <f>IF(J_V="SI",0,Datos!AH13)</f>
        <v>1044</v>
      </c>
      <c r="S13">
        <f>IF(J_V="SI",0,Datos!AI13)</f>
        <v>1077</v>
      </c>
      <c r="T13">
        <f>IF(J_V="SI",0,Datos!AJ13)</f>
        <v>228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0.18399401645474944</v>
      </c>
      <c r="E16" s="351">
        <f>IF(ISNUMBER(
   IF(D_I="SI",(Datos!J16-Datos!T16)/Datos!T16,(Datos!J16+Datos!AD16-(Datos!T16+Datos!AL16))/(Datos!T16+Datos!AL16))
     ),IF(D_I="SI",(Datos!J16-Datos!T16)/Datos!T16,(Datos!J16+Datos!AD16-(Datos!T16+Datos!AL16))/(Datos!T16+Datos!AL16))," - ")</f>
        <v>-3.9125591757170702E-2</v>
      </c>
      <c r="F16" s="351">
        <f>IF(ISNUMBER(
   IF(D_I="SI",(Datos!K16-Datos!U16)/Datos!U16,(Datos!K16+Datos!AE16-(Datos!U16+Datos!AM16))/(Datos!U16+Datos!AM16))
     ),IF(D_I="SI",(Datos!K16-Datos!U16)/Datos!U16,(Datos!K16+Datos!AE16-(Datos!U16+Datos!AM16))/(Datos!U16+Datos!AM16))," - ")</f>
        <v>-1.4184397163120567E-4</v>
      </c>
      <c r="G16" s="352">
        <f>IF(ISNUMBER(
   IF(D_I="SI",(Datos!L16-Datos!V16)/Datos!V16,(Datos!L16+Datos!AF16-(Datos!V16+Datos!AN16))/(Datos!V16+Datos!AN16))
     ),IF(D_I="SI",(Datos!L16-Datos!V16)/Datos!V16,(Datos!L16+Datos!AF16-(Datos!V16+Datos!AN16))/(Datos!V16+Datos!AN16))," - ")</f>
        <v>2.9058749210360075E-2</v>
      </c>
      <c r="H16" s="233">
        <f>IF(ISNUMBER((Datos!M16-Datos!W16)/Datos!W16),(Datos!M16-Datos!W16)/Datos!W16," - ")</f>
        <v>8.0000000000000002E-3</v>
      </c>
      <c r="I16" s="353">
        <f>IF(ISNUMBER((Tasas!C16-Datos!BE16)/Datos!BE16),(Tasas!C16-Datos!BE16)/Datos!BE16," - ")</f>
        <v>2.9204735697692986E-2</v>
      </c>
      <c r="J16" s="352">
        <f>IF(ISNUMBER((Tasas!D16-Datos!BF16)/Datos!BF16),(Tasas!D16-Datos!BF16)/Datos!BF16," - ")</f>
        <v>8.1429990069513628E-3</v>
      </c>
      <c r="K16" s="354">
        <f>IF(ISNUMBER((Tasas!E16-Datos!BG16)/Datos!BG16),(Tasas!E16-Datos!BG16)/Datos!BG16," - ")</f>
        <v>-3.9671821839214359E-3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1.7261904761904763</v>
      </c>
      <c r="E17" s="351">
        <f>IF(ISNUMBER(
   IF(D_I="SI",(Datos!J17-Datos!T17)/Datos!T17,(Datos!J17+Datos!AD17-(Datos!T17+Datos!AL17))/(Datos!T17+Datos!AL17))
     ),IF(D_I="SI",(Datos!J17-Datos!T17)/Datos!T17,(Datos!J17+Datos!AD17-(Datos!T17+Datos!AL17))/(Datos!T17+Datos!AL17))," - ")</f>
        <v>5.2631578947368418E-2</v>
      </c>
      <c r="F17" s="351">
        <f>IF(ISNUMBER(
   IF(D_I="SI",(Datos!K17-Datos!U17)/Datos!U17,(Datos!K17+Datos!AE17-(Datos!U17+Datos!AM17))/(Datos!U17+Datos!AM17))
     ),IF(D_I="SI",(Datos!K17-Datos!U17)/Datos!U17,(Datos!K17+Datos!AE17-(Datos!U17+Datos!AM17))/(Datos!U17+Datos!AM17))," - ")</f>
        <v>0.22191780821917809</v>
      </c>
      <c r="G17" s="352">
        <f>IF(ISNUMBER(
   IF(D_I="SI",(Datos!L17-Datos!V17)/Datos!V17,(Datos!L17+Datos!AF17-(Datos!V17+Datos!AN17))/(Datos!V17+Datos!AN17))
     ),IF(D_I="SI",(Datos!L17-Datos!V17)/Datos!V17,(Datos!L17+Datos!AF17-(Datos!V17+Datos!AN17))/(Datos!V17+Datos!AN17))," - ")</f>
        <v>0</v>
      </c>
      <c r="H17" s="233">
        <f>IF(ISNUMBER((Datos!M17-Datos!W17)/Datos!W17),(Datos!M17-Datos!W17)/Datos!W17," - ")</f>
        <v>0.51515151515151514</v>
      </c>
      <c r="I17" s="353">
        <f>IF(ISNUMBER((Tasas!C17-Datos!BE17)/Datos!BE17),(Tasas!C17-Datos!BE17)/Datos!BE17," - ")</f>
        <v>-0.18161434977578467</v>
      </c>
      <c r="J17" s="352">
        <f>IF(ISNUMBER((Tasas!D17-Datos!BF17)/Datos!BF17),(Tasas!D17-Datos!BF17)/Datos!BF17," - ")</f>
        <v>0.23997825791547764</v>
      </c>
      <c r="K17" s="354">
        <f>IF(ISNUMBER((Tasas!E17-Datos!BG17)/Datos!BG17),(Tasas!E17-Datos!BG17)/Datos!BG17," - ")</f>
        <v>9.0637450199203259E-2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0.27515833919774807</v>
      </c>
      <c r="E18" s="357">
        <f>IF(ISNUMBER(
   IF(D_I="SI",(Datos!J18-Datos!T18)/Datos!T18,(Datos!J18+Datos!AD18-(Datos!T18+Datos!AL18))/(Datos!T18+Datos!AL18))
     ),IF(D_I="SI",(Datos!J18-Datos!T18)/Datos!T18,(Datos!J18+Datos!AD18-(Datos!T18+Datos!AL18))/(Datos!T18+Datos!AL18))," - ")</f>
        <v>-3.4078947368421056E-2</v>
      </c>
      <c r="F18" s="357">
        <f>IF(ISNUMBER(
   IF(D_I="SI",(Datos!K18-Datos!U18)/Datos!U18,(Datos!K18+Datos!AE18-(Datos!U18+Datos!AM18))/(Datos!U18+Datos!AM18))
     ),IF(D_I="SI",(Datos!K18-Datos!U18)/Datos!U18,(Datos!K18+Datos!AE18-(Datos!U18+Datos!AM18))/(Datos!U18+Datos!AM18))," - ")</f>
        <v>1.078894133513149E-2</v>
      </c>
      <c r="G18" s="358">
        <f>IF(ISNUMBER(
   IF(D_I="SI",(Datos!L18-Datos!V18)/Datos!V18,(Datos!L18+Datos!AF18-(Datos!V18+Datos!AN18))/(Datos!V18+Datos!AN18))
     ),IF(D_I="SI",(Datos!L18-Datos!V18)/Datos!V18,(Datos!L18+Datos!AF18-(Datos!V18+Datos!AN18))/(Datos!V18+Datos!AN18))," - ")</f>
        <v>2.5386313465783666E-2</v>
      </c>
      <c r="H18" s="359">
        <f>IF(ISNUMBER((Datos!M18-Datos!W18)/Datos!W18),(Datos!M18-Datos!W18)/Datos!W18," - ")</f>
        <v>3.3434650455927049E-2</v>
      </c>
      <c r="I18" s="360">
        <f>IF(ISNUMBER((Tasas!C18-Datos!BE18)/Datos!BE18),(Tasas!C18-Datos!BE18)/Datos!BE18," - ")</f>
        <v>1.4441562955141559E-2</v>
      </c>
      <c r="J18" s="358">
        <f>IF(ISNUMBER((Tasas!D18-Datos!BF18)/Datos!BF18),(Tasas!D18-Datos!BF18)/Datos!BF18," - ")</f>
        <v>2.2403993746590984E-2</v>
      </c>
      <c r="K18" s="361">
        <f>IF(ISNUMBER((Tasas!E18-Datos!BG18)/Datos!BG18),(Tasas!E18-Datos!BG18)/Datos!BG18," - ")</f>
        <v>3.8025572086301789E-3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6.2005448177454923E-2</v>
      </c>
      <c r="E19" s="366">
        <f>IF(ISNUMBER(
   IF(J_V="SI",(Datos!J19-Datos!T19)/Datos!T19,(Datos!J19+Datos!Z19-(Datos!T19+Datos!AH19))/(Datos!T19+Datos!AH19))
     ),IF(J_V="SI",(Datos!J19-Datos!T19)/Datos!T19,(Datos!J19+Datos!Z19-(Datos!T19+Datos!AH19))/(Datos!T19+Datos!AH19))," - ")</f>
        <v>5.1280421935565861E-2</v>
      </c>
      <c r="F19" s="366">
        <f>IF(ISNUMBER(
   IF(J_V="SI",(Datos!K19-Datos!U19)/Datos!U19,(Datos!K19+Datos!AA19-(Datos!U19+Datos!AI19))/(Datos!U19+Datos!AI19))
     ),IF(J_V="SI",(Datos!K19-Datos!U19)/Datos!U19,(Datos!K19+Datos!AA19-(Datos!U19+Datos!AI19))/(Datos!U19+Datos!AI19))," - ")</f>
        <v>2.9145794027714528E-2</v>
      </c>
      <c r="G19" s="367">
        <f>IF(ISNUMBER(
   IF(J_V="SI",(Datos!L19-Datos!V19)/Datos!V19,(Datos!L19+Datos!AB19-(Datos!V19+Datos!AJ19))/(Datos!V19+Datos!AJ19))
     ),IF(J_V="SI",(Datos!L19-Datos!V19)/Datos!V19,(Datos!L19+Datos!AB19-(Datos!V19+Datos!AJ19))/(Datos!V19+Datos!AJ19))," - ")</f>
        <v>0.23329668987419078</v>
      </c>
      <c r="H19" s="368">
        <f>IF(ISNUMBER((Datos!M19-Datos!W19)/Datos!W19),(Datos!M19-Datos!W19)/Datos!W19," - ")</f>
        <v>6.1443932411674347E-3</v>
      </c>
      <c r="I19" s="365">
        <f>IF(ISNUMBER((Tasas!C19-Datos!BE19)/Datos!BE19),(Tasas!C19-Datos!BE19)/Datos!BE19," - ")</f>
        <v>0.19836926607599656</v>
      </c>
      <c r="J19" s="366">
        <f>IF(ISNUMBER((Tasas!D19-Datos!BF19)/Datos!BF19),(Tasas!D19-Datos!BF19)/Datos!BF19," - ")</f>
        <v>-0.60793624956239434</v>
      </c>
      <c r="K19" s="367">
        <f>IF(ISNUMBER((Tasas!E19-Datos!BG19)/Datos!BG19),(Tasas!E19-Datos!BG19)/Datos!BG19," - ")</f>
        <v>2.4934267031941432E-2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0.72189183610466767</v>
      </c>
      <c r="E21" s="281">
        <f t="shared" si="1"/>
        <v>0.25304177884687412</v>
      </c>
      <c r="F21" s="281">
        <f t="shared" si="1"/>
        <v>0.2519130527332043</v>
      </c>
      <c r="G21" s="282">
        <f t="shared" si="1"/>
        <v>4.4433038727074811E-2</v>
      </c>
      <c r="H21" s="288">
        <f t="shared" si="1"/>
        <v>0.39600193245659193</v>
      </c>
      <c r="I21" s="280">
        <f t="shared" si="1"/>
        <v>0.33357344689207591</v>
      </c>
      <c r="J21" s="281">
        <f t="shared" si="1"/>
        <v>0.42073340287527128</v>
      </c>
      <c r="K21" s="282">
        <f t="shared" si="1"/>
        <v>0.22420739147438665</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IalPZh4ZSOgjTpBof6hWiq6ww3KkJKWsgAdNcxAhPha+mLwmCwjZrvZLle9xQbUGxofNdT+CuVNCq7GWGnRoZA==" saltValue="Zk4y1VjUKrcyTfbqQzlru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